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35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<sst xmlns="http://schemas.openxmlformats.org/spreadsheetml/2006/main" count="219" uniqueCount="156">
  <si>
    <t>Denumirea capitolelor şi subcapitolelor de cheltuieli</t>
  </si>
  <si>
    <t>Valoare PNRR</t>
  </si>
  <si>
    <t>(lei)</t>
  </si>
  <si>
    <t>Valoare TVA la PNRR</t>
  </si>
  <si>
    <t>Valoare contribuție proprie</t>
  </si>
  <si>
    <t>Valoare TVA la contribuiție proprie</t>
  </si>
  <si>
    <t>Total valoare contribuție proprie + TVA la contribuție proprie</t>
  </si>
  <si>
    <t>CAPITOLUL 1: Cheltuieli pentru obţinere şi amenajarea terenului</t>
  </si>
  <si>
    <t>Obţinerea terenului</t>
  </si>
  <si>
    <t>Amenajarea terenului</t>
  </si>
  <si>
    <t>Cheltuieli pentru relocarea/protecția utilităților</t>
  </si>
  <si>
    <t>TOTAL CAPITOL 1</t>
  </si>
  <si>
    <t>TOTAL CAPITOL 2</t>
  </si>
  <si>
    <t>CAPITOLUL 3: Cheltuieli pentru proiectare şi asistenţă tehnică</t>
  </si>
  <si>
    <t>Studii de teren</t>
  </si>
  <si>
    <t>Consultanţă</t>
  </si>
  <si>
    <t>Asistenţă tehnică</t>
  </si>
  <si>
    <t>TOTAL CAPITOL 3</t>
  </si>
  <si>
    <t>CAPITOLUL 4: Cheltuieli pentru investiţia de bază</t>
  </si>
  <si>
    <t>4.1.</t>
  </si>
  <si>
    <t>Construcţii şi instalaţii</t>
  </si>
  <si>
    <t>Dotări</t>
  </si>
  <si>
    <t>Active necorporale</t>
  </si>
  <si>
    <t>TOTAL CAPITOL 4</t>
  </si>
  <si>
    <t>CAPITOLUL 5: Alte cheltuieli</t>
  </si>
  <si>
    <t>Organizare de şantier</t>
  </si>
  <si>
    <t>5.1.1.</t>
  </si>
  <si>
    <t>5.1.2.</t>
  </si>
  <si>
    <t>Comisioane, cote, taxe, costul creditului</t>
  </si>
  <si>
    <t>5.2.1.</t>
  </si>
  <si>
    <t>5.2.2.</t>
  </si>
  <si>
    <t>5.2.3.</t>
  </si>
  <si>
    <t>5.2.5.</t>
  </si>
  <si>
    <t>5.4.</t>
  </si>
  <si>
    <t>Cheltuieli pentru informare și publicitate</t>
  </si>
  <si>
    <t>TOTAL CAPITOL 5</t>
  </si>
  <si>
    <t>Pregătirea personalului de exploatare</t>
  </si>
  <si>
    <t>Probe tehnologice şi teste</t>
  </si>
  <si>
    <t>TOTAL CAPITOL 6</t>
  </si>
  <si>
    <t>TOTAL GENERAL</t>
  </si>
  <si>
    <t>Din care C+M (1.2, 1.3, 2, 4.1, 4.2 şi 5.1.1)</t>
  </si>
  <si>
    <t>Buget Contract de finanțare (conform Deviz General HG nr. 907/2016)</t>
  </si>
  <si>
    <t>Total din care:</t>
  </si>
  <si>
    <t>5=3+4</t>
  </si>
  <si>
    <t>8=6+7</t>
  </si>
  <si>
    <t>12=10+11</t>
  </si>
  <si>
    <t>15=13+14</t>
  </si>
  <si>
    <t>L.S.</t>
  </si>
  <si>
    <t>Amenajări pentru protecţia mediului şi aducerea terenului la starea iniţială</t>
  </si>
  <si>
    <t>3.1.1.</t>
  </si>
  <si>
    <t>Studii</t>
  </si>
  <si>
    <t>Raport privind impactul asupra mediului</t>
  </si>
  <si>
    <t>3.1.3.</t>
  </si>
  <si>
    <t>3.1.2</t>
  </si>
  <si>
    <t>Alte studii specifice</t>
  </si>
  <si>
    <t>Documentații suport și cheltuieli pentru obținerea de avize, acorduri și autorizații</t>
  </si>
  <si>
    <t>3.3.</t>
  </si>
  <si>
    <t>Expertizare tehnică</t>
  </si>
  <si>
    <t>3.4.</t>
  </si>
  <si>
    <t>Certificare a performanșei energetice și auditul energetic al clădirilor</t>
  </si>
  <si>
    <t>3.5.</t>
  </si>
  <si>
    <t>Proiectare</t>
  </si>
  <si>
    <t>3.5.1</t>
  </si>
  <si>
    <t>Tema de proiectare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</si>
  <si>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</si>
  <si>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</si>
  <si>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</si>
  <si>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</si>
  <si>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</si>
  <si>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 tehnice necesare în vederea obținerii avizelor/acordurilor/autorizațiilor</t>
  </si>
  <si>
    <t>3.5.5</t>
  </si>
  <si>
    <t>Verificarea tehnică de calitate a Proiectului Tehnic și a Detaliilor de execuție</t>
  </si>
  <si>
    <t>3.5.6</t>
  </si>
  <si>
    <t>Proiect tehnic și detalii de execuție</t>
  </si>
  <si>
    <t>3.7.1</t>
  </si>
  <si>
    <t>Managementul de proiect pentru obiectivul de investiții</t>
  </si>
  <si>
    <t>3.7.2</t>
  </si>
  <si>
    <t>Auditul financiar</t>
  </si>
  <si>
    <t>3.8.1</t>
  </si>
  <si>
    <t>Asistență tehnică din partea proiectantului</t>
  </si>
  <si>
    <t>3.8.1.1</t>
  </si>
  <si>
    <t>pe perioada de execuție a lucrărilor</t>
  </si>
  <si>
    <t>3.8.1.2</t>
  </si>
  <si>
    <t>pentru participarea proiectantului la fazele incluse în programul de control al lucrărilor de execuție avizat de către Inspectoratul de stat în Construcții</t>
  </si>
  <si>
    <t>3.8.2</t>
  </si>
  <si>
    <t>Dirigenție de șantier</t>
  </si>
  <si>
    <t>Organizarea procedurilor de achiziție</t>
  </si>
  <si>
    <t>Montaj utilaje, echipamente tehnologice și funcționale</t>
  </si>
  <si>
    <t>Utilaje, echipamente tehnologice şi funcţionale care necesită montaj</t>
  </si>
  <si>
    <t>Utilaje, echipamente tehnologice şi funcţionale care nu necesită montaj şi echipamente de transport</t>
  </si>
  <si>
    <t>Lucrări de construcţii și instalații aferente organizării de șantier</t>
  </si>
  <si>
    <t>Cheltuieli conexe organizării şantierului</t>
  </si>
  <si>
    <t>Comisioanele și dobânzile aferente creditului bancii finantatoare</t>
  </si>
  <si>
    <t>Cota aferentă I.S.C. Pentru controlul calității lucrărilor de construcții</t>
  </si>
  <si>
    <t xml:space="preserve">Cota aferenta ISC pentru controlul statului în amenajarea teritoriului, urbanism și pentru autorizarea lucrărilor de construcție </t>
  </si>
  <si>
    <t>5.2.4</t>
  </si>
  <si>
    <t>Cota aferentă Casei Sociale a Constructorilor - CSC</t>
  </si>
  <si>
    <t>Taxe pentru acorduri, avize conforme și autorizatia de construire/desființare</t>
  </si>
  <si>
    <t>Cheltuieli diverse si neprevăzute</t>
  </si>
  <si>
    <t>CAPITOLUL 6: Cheltuieli pentru probe tehnologice şi teste</t>
  </si>
  <si>
    <t>(%)</t>
  </si>
  <si>
    <t>Cheltuieli eligibile PNRR certificate prin prezenta Cerere de transfer</t>
  </si>
  <si>
    <t>Cheltuieli contribuție proprie  certificate prin prezenta Cerere de transfer</t>
  </si>
  <si>
    <t xml:space="preserve">Rest de plată eligibil PNRR </t>
  </si>
  <si>
    <t>Rest de plată contribuție proprie</t>
  </si>
  <si>
    <t>Total valoare 
PNRR + TVA la PNRR</t>
  </si>
  <si>
    <t>Total valoarePNRR + TVA la PNRR</t>
  </si>
  <si>
    <t>2=5+8</t>
  </si>
  <si>
    <t>9=12+15</t>
  </si>
  <si>
    <t>* se va detalia, dacă este cazul, funcție de natura utilităților care urmează a fi realizate</t>
  </si>
  <si>
    <t>Cheltuieli eligibile PNRR efectuate până la data prezentei Cereri de transfer</t>
  </si>
  <si>
    <t>Cheltuieli contribuție proprie efectuate până până la data prezentei Cereri de transfer</t>
  </si>
  <si>
    <t>Cheltuieli eligibile efectuate până în prezent ca procent din bugetul contractat</t>
  </si>
  <si>
    <t>Anexa 3</t>
  </si>
  <si>
    <t>Beneficiar,</t>
  </si>
  <si>
    <t>Cheltuieli cu branșamente provizorii</t>
  </si>
  <si>
    <t>18=19+20</t>
  </si>
  <si>
    <t>21=22+23</t>
  </si>
  <si>
    <t>24=25+26</t>
  </si>
  <si>
    <t>28=29+30</t>
  </si>
  <si>
    <t>31=32+33</t>
  </si>
  <si>
    <t>34=35+36</t>
  </si>
  <si>
    <t>37=31+34</t>
  </si>
  <si>
    <t>Valoare
rămasă
necontractată</t>
  </si>
  <si>
    <t>27=(18+24)/0,95*(17
*100)</t>
  </si>
  <si>
    <t>Total rest de
plată PNRR +
contribuție proprie</t>
  </si>
  <si>
    <t>10'</t>
  </si>
  <si>
    <t>11'</t>
  </si>
  <si>
    <t>12'=10'+11'</t>
  </si>
  <si>
    <t>13'</t>
  </si>
  <si>
    <t>14'</t>
  </si>
  <si>
    <t>15'=13'+14'</t>
  </si>
  <si>
    <t xml:space="preserve"> </t>
  </si>
  <si>
    <t>Valoare TVA la contribuție proprie</t>
  </si>
  <si>
    <t>Buget rezultat în urma ajustării de prețuri</t>
  </si>
  <si>
    <t>32=10'-19-25</t>
  </si>
  <si>
    <t>Valoare ajustare prețuri fără TVA</t>
  </si>
  <si>
    <t>Buget rezultat în urma procedurii de achiziție publică (conform ofertă)</t>
  </si>
  <si>
    <t>9'=9+17</t>
  </si>
  <si>
    <t>Valoare ajustare prețuri cu TVA</t>
  </si>
  <si>
    <t>33=11'-20-26</t>
  </si>
  <si>
    <t>35=13'-22-29</t>
  </si>
  <si>
    <t>36=14'-23-30</t>
  </si>
  <si>
    <t>38=2-9 sau
**38=2-9'</t>
  </si>
  <si>
    <t>CAPITOLUL 2: Cheltuieli pentru asigurarea utilităţilor necesare obiectivului *</t>
  </si>
  <si>
    <t>** se calculează dacă există ajustări de prețuri</t>
  </si>
  <si>
    <t xml:space="preserve">Data: </t>
  </si>
  <si>
    <t>Manager proiect</t>
  </si>
  <si>
    <t>Reprezentant legal</t>
  </si>
  <si>
    <t>Situația bugetului la data de .............................. aferent Cererii de transfer nr. ................................ din data de ............................</t>
  </si>
  <si>
    <t>Beneficiar ........................</t>
  </si>
  <si>
    <t>Denumire proiect: ....................................</t>
  </si>
  <si>
    <t>COMPONENTA 12 - SĂNĂTATE, INVESTIȚIA ............................</t>
  </si>
  <si>
    <t>Nr. Contract de finanțare: ......................</t>
  </si>
  <si>
    <t>Îndrumar metodologic la Ghidurile beneficiarilor - C 12/ C 7- I.3 PNRR</t>
  </si>
  <si>
    <t>Revizia 1_ 2Noiembrie 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</si>
</sst>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8"/>
      <color indexed="8"/>
      <name val="Calibri"/>
      <family val="2"/>
    </font>
    <font>
      <b/>
      <sz val="14"/>
      <color indexed="8"/>
      <name val="Calibri "/>
      <family val="0"/>
    </font>
    <font>
      <i/>
      <sz val="14"/>
      <color indexed="8"/>
      <name val="Calibri "/>
      <family val="0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8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rgb="FF000000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i/>
      <sz val="8"/>
      <color rgb="FF000000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Calibri "/>
      <family val="0"/>
    </font>
    <font>
      <i/>
      <sz val="14"/>
      <color theme="1"/>
      <name val="Calibri "/>
      <family val="0"/>
    </font>
    <font>
      <b/>
      <sz val="14"/>
      <color theme="1"/>
      <name val="Calibri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rgb="FF000000"/>
      <name val="Calibri"/>
      <family val="2"/>
    </font>
    <font>
      <sz val="8"/>
      <color rgb="FF7030A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51" fillId="0" borderId="11" xfId="0" applyFont="1" applyBorder="1" applyAlignment="1">
      <alignment horizontal="center" vertical="center" textRotation="90" wrapText="1"/>
    </xf>
    <xf numFmtId="0" fontId="51" fillId="0" borderId="0" xfId="0" applyFont="1" applyAlignment="1">
      <alignment horizontal="center" vertical="center" textRotation="90" wrapText="1"/>
    </xf>
    <xf numFmtId="0" fontId="0" fillId="0" borderId="12" xfId="0" applyFont="1" applyBorder="1" applyAlignment="1">
      <alignment vertical="center" textRotation="90" wrapText="1"/>
    </xf>
    <xf numFmtId="0" fontId="0" fillId="0" borderId="13" xfId="0" applyFont="1" applyBorder="1" applyAlignment="1">
      <alignment vertical="center" textRotation="90" wrapText="1"/>
    </xf>
    <xf numFmtId="0" fontId="19" fillId="0" borderId="13" xfId="0" applyFont="1" applyBorder="1" applyAlignment="1">
      <alignment horizontal="center" vertical="center" textRotation="90" wrapText="1"/>
    </xf>
    <xf numFmtId="0" fontId="51" fillId="0" borderId="13" xfId="0" applyFont="1" applyBorder="1" applyAlignment="1">
      <alignment horizontal="center" vertical="center" textRotation="90" wrapText="1"/>
    </xf>
    <xf numFmtId="0" fontId="51" fillId="33" borderId="12" xfId="0" applyFont="1" applyFill="1" applyBorder="1" applyAlignment="1">
      <alignment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4" fontId="51" fillId="34" borderId="16" xfId="0" applyNumberFormat="1" applyFont="1" applyFill="1" applyBorder="1" applyAlignment="1">
      <alignment vertical="center" wrapText="1"/>
    </xf>
    <xf numFmtId="4" fontId="52" fillId="34" borderId="16" xfId="0" applyNumberFormat="1" applyFont="1" applyFill="1" applyBorder="1" applyAlignment="1">
      <alignment vertical="center"/>
    </xf>
    <xf numFmtId="4" fontId="52" fillId="34" borderId="16" xfId="0" applyNumberFormat="1" applyFont="1" applyFill="1" applyBorder="1" applyAlignment="1">
      <alignment vertical="center" wrapText="1"/>
    </xf>
    <xf numFmtId="4" fontId="0" fillId="35" borderId="16" xfId="0" applyNumberFormat="1" applyFont="1" applyFill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4" fontId="53" fillId="0" borderId="16" xfId="0" applyNumberFormat="1" applyFont="1" applyBorder="1" applyAlignment="1">
      <alignment vertical="center" wrapText="1"/>
    </xf>
    <xf numFmtId="4" fontId="53" fillId="0" borderId="16" xfId="0" applyNumberFormat="1" applyFont="1" applyBorder="1" applyAlignment="1" applyProtection="1">
      <alignment vertical="center"/>
      <protection locked="0"/>
    </xf>
    <xf numFmtId="4" fontId="53" fillId="0" borderId="16" xfId="0" applyNumberFormat="1" applyFont="1" applyBorder="1" applyAlignment="1">
      <alignment vertical="center"/>
    </xf>
    <xf numFmtId="4" fontId="54" fillId="0" borderId="16" xfId="0" applyNumberFormat="1" applyFont="1" applyBorder="1" applyAlignment="1">
      <alignment vertical="center" wrapText="1"/>
    </xf>
    <xf numFmtId="4" fontId="51" fillId="34" borderId="16" xfId="0" applyNumberFormat="1" applyFont="1" applyFill="1" applyBorder="1" applyAlignment="1">
      <alignment vertical="center"/>
    </xf>
    <xf numFmtId="4" fontId="55" fillId="35" borderId="16" xfId="0" applyNumberFormat="1" applyFont="1" applyFill="1" applyBorder="1" applyAlignment="1">
      <alignment vertical="center" wrapText="1"/>
    </xf>
    <xf numFmtId="4" fontId="53" fillId="0" borderId="16" xfId="0" applyNumberFormat="1" applyFont="1" applyBorder="1" applyAlignment="1">
      <alignment horizontal="center" vertical="center" wrapText="1"/>
    </xf>
    <xf numFmtId="4" fontId="52" fillId="0" borderId="16" xfId="0" applyNumberFormat="1" applyFont="1" applyBorder="1" applyAlignment="1">
      <alignment vertical="center"/>
    </xf>
    <xf numFmtId="4" fontId="52" fillId="0" borderId="16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 wrapText="1"/>
    </xf>
    <xf numFmtId="0" fontId="51" fillId="36" borderId="16" xfId="0" applyFont="1" applyFill="1" applyBorder="1" applyAlignment="1">
      <alignment horizontal="center" vertical="center" wrapText="1"/>
    </xf>
    <xf numFmtId="0" fontId="51" fillId="36" borderId="16" xfId="0" applyFont="1" applyFill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4" fontId="51" fillId="0" borderId="16" xfId="0" applyNumberFormat="1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6" xfId="0" applyFont="1" applyBorder="1" applyAlignment="1">
      <alignment vertical="center" wrapText="1"/>
    </xf>
    <xf numFmtId="4" fontId="51" fillId="33" borderId="16" xfId="0" applyNumberFormat="1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vertical="center" wrapText="1"/>
    </xf>
    <xf numFmtId="4" fontId="51" fillId="33" borderId="16" xfId="0" applyNumberFormat="1" applyFont="1" applyFill="1" applyBorder="1" applyAlignment="1">
      <alignment vertical="center" wrapText="1"/>
    </xf>
    <xf numFmtId="0" fontId="51" fillId="36" borderId="0" xfId="0" applyFont="1" applyFill="1" applyAlignment="1">
      <alignment vertical="center" wrapText="1"/>
    </xf>
    <xf numFmtId="0" fontId="52" fillId="36" borderId="0" xfId="0" applyFont="1" applyFill="1" applyAlignment="1">
      <alignment vertical="center"/>
    </xf>
    <xf numFmtId="0" fontId="0" fillId="36" borderId="0" xfId="0" applyFont="1" applyFill="1" applyAlignment="1">
      <alignment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4" fontId="53" fillId="0" borderId="16" xfId="0" applyNumberFormat="1" applyFont="1" applyBorder="1" applyAlignment="1" applyProtection="1">
      <alignment vertical="center"/>
      <protection/>
    </xf>
    <xf numFmtId="0" fontId="59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4" fontId="56" fillId="0" borderId="16" xfId="0" applyNumberFormat="1" applyFont="1" applyBorder="1" applyAlignment="1">
      <alignment vertical="center" wrapText="1"/>
    </xf>
    <xf numFmtId="4" fontId="56" fillId="0" borderId="16" xfId="0" applyNumberFormat="1" applyFont="1" applyBorder="1" applyAlignment="1" applyProtection="1">
      <alignment vertical="center"/>
      <protection/>
    </xf>
    <xf numFmtId="4" fontId="56" fillId="0" borderId="16" xfId="0" applyNumberFormat="1" applyFont="1" applyBorder="1" applyAlignment="1" applyProtection="1">
      <alignment vertical="center"/>
      <protection locked="0"/>
    </xf>
    <xf numFmtId="4" fontId="56" fillId="0" borderId="16" xfId="0" applyNumberFormat="1" applyFont="1" applyBorder="1" applyAlignment="1">
      <alignment vertical="center"/>
    </xf>
    <xf numFmtId="4" fontId="60" fillId="0" borderId="16" xfId="0" applyNumberFormat="1" applyFont="1" applyBorder="1" applyAlignment="1">
      <alignment vertical="center" wrapText="1"/>
    </xf>
    <xf numFmtId="0" fontId="59" fillId="0" borderId="17" xfId="0" applyFont="1" applyBorder="1" applyAlignment="1">
      <alignment horizontal="center" vertical="center" wrapText="1"/>
    </xf>
    <xf numFmtId="4" fontId="54" fillId="0" borderId="16" xfId="0" applyNumberFormat="1" applyFont="1" applyBorder="1" applyAlignment="1">
      <alignment vertical="center"/>
    </xf>
    <xf numFmtId="4" fontId="54" fillId="0" borderId="18" xfId="0" applyNumberFormat="1" applyFont="1" applyBorder="1" applyAlignment="1">
      <alignment vertical="center"/>
    </xf>
    <xf numFmtId="4" fontId="51" fillId="0" borderId="0" xfId="0" applyNumberFormat="1" applyFont="1" applyFill="1" applyBorder="1" applyAlignment="1">
      <alignment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vertical="center" wrapText="1"/>
    </xf>
    <xf numFmtId="4" fontId="53" fillId="0" borderId="16" xfId="0" applyNumberFormat="1" applyFont="1" applyFill="1" applyBorder="1" applyAlignment="1">
      <alignment vertical="center" wrapText="1"/>
    </xf>
    <xf numFmtId="10" fontId="51" fillId="0" borderId="11" xfId="0" applyNumberFormat="1" applyFont="1" applyBorder="1" applyAlignment="1">
      <alignment horizontal="center" vertical="center" textRotation="90" wrapText="1"/>
    </xf>
    <xf numFmtId="10" fontId="51" fillId="0" borderId="13" xfId="0" applyNumberFormat="1" applyFont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vertical="center" wrapText="1"/>
    </xf>
    <xf numFmtId="4" fontId="51" fillId="0" borderId="16" xfId="0" applyNumberFormat="1" applyFont="1" applyFill="1" applyBorder="1" applyAlignment="1">
      <alignment vertical="center" wrapText="1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4" fontId="54" fillId="37" borderId="16" xfId="0" applyNumberFormat="1" applyFont="1" applyFill="1" applyBorder="1" applyAlignment="1">
      <alignment vertical="center"/>
    </xf>
    <xf numFmtId="4" fontId="53" fillId="0" borderId="16" xfId="0" applyNumberFormat="1" applyFont="1" applyFill="1" applyBorder="1" applyAlignment="1" applyProtection="1">
      <alignment vertical="center"/>
      <protection/>
    </xf>
    <xf numFmtId="4" fontId="53" fillId="0" borderId="16" xfId="0" applyNumberFormat="1" applyFont="1" applyFill="1" applyBorder="1" applyAlignment="1" applyProtection="1">
      <alignment vertical="center"/>
      <protection locked="0"/>
    </xf>
    <xf numFmtId="4" fontId="53" fillId="0" borderId="16" xfId="0" applyNumberFormat="1" applyFont="1" applyFill="1" applyBorder="1" applyAlignment="1">
      <alignment vertical="center"/>
    </xf>
    <xf numFmtId="4" fontId="54" fillId="0" borderId="16" xfId="0" applyNumberFormat="1" applyFont="1" applyFill="1" applyBorder="1" applyAlignment="1">
      <alignment vertical="center" wrapText="1"/>
    </xf>
    <xf numFmtId="4" fontId="54" fillId="0" borderId="16" xfId="0" applyNumberFormat="1" applyFont="1" applyFill="1" applyBorder="1" applyAlignment="1">
      <alignment vertical="center"/>
    </xf>
    <xf numFmtId="4" fontId="54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" fontId="55" fillId="35" borderId="16" xfId="0" applyNumberFormat="1" applyFont="1" applyFill="1" applyBorder="1" applyAlignment="1">
      <alignment horizontal="right" vertical="center" wrapText="1"/>
    </xf>
    <xf numFmtId="10" fontId="54" fillId="0" borderId="16" xfId="0" applyNumberFormat="1" applyFont="1" applyBorder="1" applyAlignment="1">
      <alignment horizontal="right" vertical="center"/>
    </xf>
    <xf numFmtId="10" fontId="0" fillId="0" borderId="0" xfId="0" applyNumberFormat="1" applyFont="1" applyAlignment="1">
      <alignment horizontal="right" vertical="center"/>
    </xf>
    <xf numFmtId="10" fontId="0" fillId="35" borderId="16" xfId="0" applyNumberFormat="1" applyFont="1" applyFill="1" applyBorder="1" applyAlignment="1">
      <alignment horizontal="right" vertical="center"/>
    </xf>
    <xf numFmtId="10" fontId="0" fillId="0" borderId="16" xfId="0" applyNumberFormat="1" applyFont="1" applyBorder="1" applyAlignment="1">
      <alignment horizontal="right" vertical="center"/>
    </xf>
    <xf numFmtId="10" fontId="51" fillId="34" borderId="16" xfId="0" applyNumberFormat="1" applyFont="1" applyFill="1" applyBorder="1" applyAlignment="1">
      <alignment horizontal="right" vertical="center" wrapText="1"/>
    </xf>
    <xf numFmtId="10" fontId="55" fillId="35" borderId="16" xfId="0" applyNumberFormat="1" applyFont="1" applyFill="1" applyBorder="1" applyAlignment="1">
      <alignment horizontal="right" vertical="center"/>
    </xf>
    <xf numFmtId="10" fontId="51" fillId="33" borderId="16" xfId="0" applyNumberFormat="1" applyFont="1" applyFill="1" applyBorder="1" applyAlignment="1">
      <alignment horizontal="right" vertical="center" wrapText="1"/>
    </xf>
    <xf numFmtId="10" fontId="51" fillId="0" borderId="16" xfId="0" applyNumberFormat="1" applyFont="1" applyFill="1" applyBorder="1" applyAlignment="1">
      <alignment horizontal="right" vertical="center" wrapText="1"/>
    </xf>
    <xf numFmtId="10" fontId="0" fillId="36" borderId="0" xfId="0" applyNumberFormat="1" applyFont="1" applyFill="1" applyAlignment="1">
      <alignment horizontal="right" vertical="center"/>
    </xf>
    <xf numFmtId="10" fontId="0" fillId="0" borderId="13" xfId="0" applyNumberFormat="1" applyFont="1" applyBorder="1" applyAlignment="1">
      <alignment horizontal="center" vertical="center" textRotation="90" wrapText="1"/>
    </xf>
    <xf numFmtId="0" fontId="4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" fontId="0" fillId="35" borderId="16" xfId="0" applyNumberFormat="1" applyFont="1" applyFill="1" applyBorder="1" applyAlignment="1">
      <alignment vertical="center"/>
    </xf>
    <xf numFmtId="4" fontId="0" fillId="35" borderId="18" xfId="0" applyNumberFormat="1" applyFont="1" applyFill="1" applyBorder="1" applyAlignment="1">
      <alignment vertical="center"/>
    </xf>
    <xf numFmtId="0" fontId="54" fillId="35" borderId="16" xfId="0" applyFont="1" applyFill="1" applyBorder="1" applyAlignment="1">
      <alignment vertical="center"/>
    </xf>
    <xf numFmtId="4" fontId="55" fillId="35" borderId="16" xfId="0" applyNumberFormat="1" applyFont="1" applyFill="1" applyBorder="1" applyAlignment="1">
      <alignment vertical="center"/>
    </xf>
    <xf numFmtId="4" fontId="55" fillId="35" borderId="18" xfId="0" applyNumberFormat="1" applyFont="1" applyFill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0" fillId="36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4" fontId="60" fillId="0" borderId="16" xfId="0" applyNumberFormat="1" applyFont="1" applyBorder="1" applyAlignment="1">
      <alignment vertical="center"/>
    </xf>
    <xf numFmtId="4" fontId="60" fillId="0" borderId="18" xfId="0" applyNumberFormat="1" applyFont="1" applyBorder="1" applyAlignment="1">
      <alignment vertical="center"/>
    </xf>
    <xf numFmtId="4" fontId="60" fillId="37" borderId="16" xfId="0" applyNumberFormat="1" applyFont="1" applyFill="1" applyBorder="1" applyAlignment="1">
      <alignment vertical="center"/>
    </xf>
    <xf numFmtId="4" fontId="60" fillId="0" borderId="16" xfId="0" applyNumberFormat="1" applyFont="1" applyFill="1" applyBorder="1" applyAlignment="1">
      <alignment vertical="center"/>
    </xf>
    <xf numFmtId="0" fontId="54" fillId="36" borderId="0" xfId="0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1" fillId="37" borderId="11" xfId="0" applyFont="1" applyFill="1" applyBorder="1" applyAlignment="1">
      <alignment horizontal="center" vertical="center" textRotation="90" wrapText="1"/>
    </xf>
    <xf numFmtId="0" fontId="0" fillId="37" borderId="13" xfId="0" applyFont="1" applyFill="1" applyBorder="1" applyAlignment="1">
      <alignment vertical="center" textRotation="90" wrapText="1"/>
    </xf>
    <xf numFmtId="0" fontId="51" fillId="37" borderId="13" xfId="0" applyFont="1" applyFill="1" applyBorder="1" applyAlignment="1">
      <alignment horizontal="center" vertical="center" textRotation="90" wrapText="1"/>
    </xf>
    <xf numFmtId="0" fontId="51" fillId="37" borderId="13" xfId="0" applyFont="1" applyFill="1" applyBorder="1" applyAlignment="1">
      <alignment horizontal="center" vertical="center"/>
    </xf>
    <xf numFmtId="0" fontId="51" fillId="37" borderId="13" xfId="0" applyFont="1" applyFill="1" applyBorder="1" applyAlignment="1">
      <alignment horizontal="center" vertical="center"/>
    </xf>
    <xf numFmtId="0" fontId="51" fillId="37" borderId="19" xfId="0" applyFont="1" applyFill="1" applyBorder="1" applyAlignment="1">
      <alignment horizontal="center" vertical="center" textRotation="90" wrapText="1"/>
    </xf>
    <xf numFmtId="0" fontId="51" fillId="37" borderId="20" xfId="0" applyFont="1" applyFill="1" applyBorder="1" applyAlignment="1">
      <alignment horizontal="center" vertical="center" textRotation="90" wrapText="1"/>
    </xf>
    <xf numFmtId="0" fontId="51" fillId="37" borderId="10" xfId="0" applyFont="1" applyFill="1" applyBorder="1" applyAlignment="1">
      <alignment horizontal="center" vertical="center" textRotation="90" wrapText="1"/>
    </xf>
    <xf numFmtId="0" fontId="0" fillId="37" borderId="12" xfId="0" applyFont="1" applyFill="1" applyBorder="1" applyAlignment="1">
      <alignment vertical="center" textRotation="90" wrapText="1"/>
    </xf>
    <xf numFmtId="0" fontId="51" fillId="0" borderId="15" xfId="0" applyFont="1" applyBorder="1" applyAlignment="1">
      <alignment horizontal="center" vertical="center" wrapText="1"/>
    </xf>
    <xf numFmtId="0" fontId="51" fillId="34" borderId="16" xfId="0" applyFont="1" applyFill="1" applyBorder="1" applyAlignment="1">
      <alignment vertical="center" wrapText="1"/>
    </xf>
    <xf numFmtId="0" fontId="64" fillId="0" borderId="0" xfId="0" applyFont="1" applyAlignment="1">
      <alignment vertical="center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1" fillId="37" borderId="19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51" fillId="37" borderId="12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1" fillId="37" borderId="21" xfId="0" applyFont="1" applyFill="1" applyBorder="1" applyAlignment="1">
      <alignment horizontal="center" vertical="center"/>
    </xf>
    <xf numFmtId="0" fontId="51" fillId="37" borderId="24" xfId="0" applyFont="1" applyFill="1" applyBorder="1" applyAlignment="1">
      <alignment horizontal="center" vertical="center"/>
    </xf>
    <xf numFmtId="0" fontId="51" fillId="37" borderId="23" xfId="0" applyFont="1" applyFill="1" applyBorder="1" applyAlignment="1">
      <alignment horizontal="center" vertical="center"/>
    </xf>
    <xf numFmtId="0" fontId="51" fillId="37" borderId="14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10" fontId="51" fillId="0" borderId="19" xfId="0" applyNumberFormat="1" applyFont="1" applyBorder="1" applyAlignment="1">
      <alignment horizontal="center" vertical="center" wrapText="1"/>
    </xf>
    <xf numFmtId="10" fontId="51" fillId="0" borderId="10" xfId="0" applyNumberFormat="1" applyFont="1" applyBorder="1" applyAlignment="1">
      <alignment horizontal="center" vertical="center" wrapText="1"/>
    </xf>
    <xf numFmtId="0" fontId="6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428625</xdr:colOff>
      <xdr:row>3</xdr:row>
      <xdr:rowOff>161925</xdr:rowOff>
    </xdr:to>
    <xdr:pic>
      <xdr:nvPicPr>
        <xdr:cNvPr id="1" name="I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53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1"/>
  <sheetViews>
    <sheetView tabSelected="1" zoomScale="82" zoomScaleNormal="82" zoomScalePageLayoutView="0" workbookViewId="0" topLeftCell="A1">
      <selection activeCell="J7" sqref="J7"/>
    </sheetView>
  </sheetViews>
  <sheetFormatPr defaultColWidth="9.140625" defaultRowHeight="15"/>
  <cols>
    <col min="1" max="1" width="7.00390625" style="5" customWidth="1"/>
    <col min="2" max="2" width="27.8515625" style="5" customWidth="1"/>
    <col min="3" max="4" width="11.7109375" style="5" customWidth="1"/>
    <col min="5" max="5" width="10.8515625" style="5" customWidth="1"/>
    <col min="6" max="6" width="11.7109375" style="5" customWidth="1"/>
    <col min="7" max="8" width="10.00390625" style="5" customWidth="1"/>
    <col min="9" max="9" width="10.8515625" style="5" customWidth="1"/>
    <col min="10" max="11" width="11.7109375" style="5" customWidth="1"/>
    <col min="12" max="12" width="10.8515625" style="5" customWidth="1"/>
    <col min="13" max="14" width="11.7109375" style="5" customWidth="1"/>
    <col min="15" max="15" width="10.00390625" style="5" customWidth="1"/>
    <col min="16" max="18" width="10.8515625" style="5" customWidth="1"/>
    <col min="19" max="20" width="11.7109375" style="5" customWidth="1"/>
    <col min="21" max="21" width="10.8515625" style="5" customWidth="1"/>
    <col min="22" max="23" width="11.7109375" style="5" customWidth="1"/>
    <col min="24" max="24" width="10.00390625" style="5" customWidth="1"/>
    <col min="25" max="25" width="10.8515625" style="5" customWidth="1"/>
    <col min="26" max="26" width="9.28125" style="5" customWidth="1"/>
    <col min="27" max="27" width="9.421875" style="5" bestFit="1" customWidth="1"/>
    <col min="28" max="28" width="8.57421875" style="5" bestFit="1" customWidth="1"/>
    <col min="29" max="29" width="8.00390625" style="5" customWidth="1"/>
    <col min="30" max="31" width="9.140625" style="5" customWidth="1"/>
    <col min="32" max="32" width="10.57421875" style="5" customWidth="1"/>
    <col min="33" max="34" width="10.7109375" style="5" bestFit="1" customWidth="1"/>
    <col min="35" max="35" width="8.7109375" style="87" customWidth="1"/>
    <col min="36" max="36" width="9.28125" style="5" bestFit="1" customWidth="1"/>
    <col min="37" max="38" width="9.140625" style="5" customWidth="1"/>
    <col min="39" max="40" width="11.7109375" style="5" bestFit="1" customWidth="1"/>
    <col min="41" max="42" width="10.8515625" style="5" bestFit="1" customWidth="1"/>
    <col min="43" max="43" width="11.28125" style="5" bestFit="1" customWidth="1"/>
    <col min="44" max="44" width="10.00390625" style="5" customWidth="1"/>
    <col min="45" max="45" width="14.28125" style="5" bestFit="1" customWidth="1"/>
    <col min="46" max="46" width="11.7109375" style="97" bestFit="1" customWidth="1"/>
    <col min="47" max="16384" width="9.140625" style="5" customWidth="1"/>
  </cols>
  <sheetData>
    <row r="1" spans="10:46" ht="15.75">
      <c r="J1" s="173" t="s">
        <v>154</v>
      </c>
      <c r="K1" s="173"/>
      <c r="L1" s="173"/>
      <c r="M1" s="173"/>
      <c r="N1" s="173"/>
      <c r="AS1" s="169" t="s">
        <v>113</v>
      </c>
      <c r="AT1" s="169"/>
    </row>
    <row r="2" spans="10:14" ht="15">
      <c r="J2" s="173" t="s">
        <v>155</v>
      </c>
      <c r="K2" s="173"/>
      <c r="L2" s="173"/>
      <c r="M2" s="173"/>
      <c r="N2" s="173"/>
    </row>
    <row r="3" ht="15"/>
    <row r="4" ht="15"/>
    <row r="7" spans="1:4" ht="15">
      <c r="A7" s="1" t="s">
        <v>150</v>
      </c>
      <c r="B7" s="96"/>
      <c r="C7" s="96"/>
      <c r="D7" s="96"/>
    </row>
    <row r="8" spans="1:4" ht="15">
      <c r="A8" s="1"/>
      <c r="B8" s="1"/>
      <c r="C8" s="1"/>
      <c r="D8" s="1"/>
    </row>
    <row r="9" spans="1:4" ht="15">
      <c r="A9" s="1" t="s">
        <v>151</v>
      </c>
      <c r="B9" s="96"/>
      <c r="C9" s="96"/>
      <c r="D9" s="96"/>
    </row>
    <row r="10" spans="1:4" ht="15">
      <c r="A10" s="1"/>
      <c r="B10" s="96"/>
      <c r="C10" s="96"/>
      <c r="D10" s="96"/>
    </row>
    <row r="11" spans="1:4" ht="15">
      <c r="A11" s="2" t="s">
        <v>152</v>
      </c>
      <c r="B11" s="3"/>
      <c r="C11" s="3"/>
      <c r="D11" s="3"/>
    </row>
    <row r="12" spans="1:4" ht="15">
      <c r="A12" s="1"/>
      <c r="B12" s="96"/>
      <c r="C12" s="96"/>
      <c r="D12" s="96"/>
    </row>
    <row r="13" spans="1:4" ht="15">
      <c r="A13" s="1" t="s">
        <v>153</v>
      </c>
      <c r="B13" s="96"/>
      <c r="C13" s="96"/>
      <c r="D13" s="96"/>
    </row>
    <row r="14" ht="15">
      <c r="J14" s="5" t="s">
        <v>132</v>
      </c>
    </row>
    <row r="16" spans="1:46" s="78" customFormat="1" ht="18.75">
      <c r="A16" s="170" t="s">
        <v>149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</row>
    <row r="17" spans="1:32" ht="15">
      <c r="A17" s="128"/>
      <c r="B17" s="128"/>
      <c r="C17" s="79"/>
      <c r="AF17" s="4"/>
    </row>
    <row r="18" spans="31:32" ht="15.75" thickBot="1">
      <c r="AE18" s="6"/>
      <c r="AF18" s="4"/>
    </row>
    <row r="19" spans="1:46" ht="20.25" customHeight="1">
      <c r="A19" s="129" t="s">
        <v>0</v>
      </c>
      <c r="B19" s="130"/>
      <c r="C19" s="135" t="s">
        <v>41</v>
      </c>
      <c r="D19" s="136"/>
      <c r="E19" s="136"/>
      <c r="F19" s="136"/>
      <c r="G19" s="136"/>
      <c r="H19" s="136"/>
      <c r="I19" s="137"/>
      <c r="J19" s="141" t="s">
        <v>137</v>
      </c>
      <c r="K19" s="142"/>
      <c r="L19" s="142"/>
      <c r="M19" s="142"/>
      <c r="N19" s="142"/>
      <c r="O19" s="142"/>
      <c r="P19" s="143"/>
      <c r="Q19" s="122"/>
      <c r="R19" s="123"/>
      <c r="S19" s="165" t="s">
        <v>134</v>
      </c>
      <c r="T19" s="166"/>
      <c r="U19" s="166"/>
      <c r="V19" s="166"/>
      <c r="W19" s="166"/>
      <c r="X19" s="166"/>
      <c r="Y19" s="166"/>
      <c r="Z19" s="151" t="s">
        <v>110</v>
      </c>
      <c r="AA19" s="152"/>
      <c r="AB19" s="153"/>
      <c r="AC19" s="151" t="s">
        <v>111</v>
      </c>
      <c r="AD19" s="152"/>
      <c r="AE19" s="153"/>
      <c r="AF19" s="151" t="s">
        <v>101</v>
      </c>
      <c r="AG19" s="152"/>
      <c r="AH19" s="153"/>
      <c r="AI19" s="171" t="s">
        <v>112</v>
      </c>
      <c r="AJ19" s="151" t="s">
        <v>102</v>
      </c>
      <c r="AK19" s="152"/>
      <c r="AL19" s="153"/>
      <c r="AM19" s="151" t="s">
        <v>103</v>
      </c>
      <c r="AN19" s="152"/>
      <c r="AO19" s="153"/>
      <c r="AP19" s="151" t="s">
        <v>104</v>
      </c>
      <c r="AQ19" s="152"/>
      <c r="AR19" s="153"/>
      <c r="AS19" s="147" t="s">
        <v>125</v>
      </c>
      <c r="AT19" s="147" t="s">
        <v>123</v>
      </c>
    </row>
    <row r="20" spans="1:46" ht="26.25" customHeight="1" thickBot="1">
      <c r="A20" s="131"/>
      <c r="B20" s="132"/>
      <c r="C20" s="138"/>
      <c r="D20" s="139"/>
      <c r="E20" s="139"/>
      <c r="F20" s="139"/>
      <c r="G20" s="139"/>
      <c r="H20" s="139"/>
      <c r="I20" s="140"/>
      <c r="J20" s="144"/>
      <c r="K20" s="145"/>
      <c r="L20" s="145"/>
      <c r="M20" s="145"/>
      <c r="N20" s="145"/>
      <c r="O20" s="145"/>
      <c r="P20" s="146"/>
      <c r="Q20" s="124"/>
      <c r="R20" s="117"/>
      <c r="S20" s="167"/>
      <c r="T20" s="168"/>
      <c r="U20" s="168"/>
      <c r="V20" s="168"/>
      <c r="W20" s="168"/>
      <c r="X20" s="168"/>
      <c r="Y20" s="168"/>
      <c r="Z20" s="154"/>
      <c r="AA20" s="155"/>
      <c r="AB20" s="156"/>
      <c r="AC20" s="154"/>
      <c r="AD20" s="155"/>
      <c r="AE20" s="156"/>
      <c r="AF20" s="154"/>
      <c r="AG20" s="155"/>
      <c r="AH20" s="156"/>
      <c r="AI20" s="172"/>
      <c r="AJ20" s="154"/>
      <c r="AK20" s="155"/>
      <c r="AL20" s="156"/>
      <c r="AM20" s="154"/>
      <c r="AN20" s="155"/>
      <c r="AO20" s="156"/>
      <c r="AP20" s="154"/>
      <c r="AQ20" s="155"/>
      <c r="AR20" s="156"/>
      <c r="AS20" s="148"/>
      <c r="AT20" s="148"/>
    </row>
    <row r="21" spans="1:46" ht="92.25" customHeight="1">
      <c r="A21" s="131"/>
      <c r="B21" s="132"/>
      <c r="C21" s="147" t="s">
        <v>42</v>
      </c>
      <c r="D21" s="7" t="s">
        <v>1</v>
      </c>
      <c r="E21" s="8" t="s">
        <v>3</v>
      </c>
      <c r="F21" s="8" t="s">
        <v>106</v>
      </c>
      <c r="G21" s="8" t="s">
        <v>4</v>
      </c>
      <c r="H21" s="8" t="s">
        <v>5</v>
      </c>
      <c r="I21" s="8" t="s">
        <v>6</v>
      </c>
      <c r="J21" s="147" t="s">
        <v>42</v>
      </c>
      <c r="K21" s="9" t="s">
        <v>1</v>
      </c>
      <c r="L21" s="9" t="s">
        <v>3</v>
      </c>
      <c r="M21" s="9" t="s">
        <v>105</v>
      </c>
      <c r="N21" s="9" t="s">
        <v>4</v>
      </c>
      <c r="O21" s="9" t="s">
        <v>5</v>
      </c>
      <c r="P21" s="9" t="s">
        <v>6</v>
      </c>
      <c r="Q21" s="124" t="s">
        <v>136</v>
      </c>
      <c r="R21" s="117" t="s">
        <v>139</v>
      </c>
      <c r="S21" s="160" t="s">
        <v>42</v>
      </c>
      <c r="T21" s="117" t="s">
        <v>1</v>
      </c>
      <c r="U21" s="117" t="s">
        <v>3</v>
      </c>
      <c r="V21" s="117" t="s">
        <v>105</v>
      </c>
      <c r="W21" s="117" t="s">
        <v>4</v>
      </c>
      <c r="X21" s="117" t="s">
        <v>133</v>
      </c>
      <c r="Y21" s="117" t="s">
        <v>6</v>
      </c>
      <c r="Z21" s="147" t="s">
        <v>42</v>
      </c>
      <c r="AA21" s="9" t="s">
        <v>1</v>
      </c>
      <c r="AB21" s="9" t="s">
        <v>3</v>
      </c>
      <c r="AC21" s="147" t="s">
        <v>42</v>
      </c>
      <c r="AD21" s="9" t="s">
        <v>4</v>
      </c>
      <c r="AE21" s="9" t="s">
        <v>5</v>
      </c>
      <c r="AF21" s="147" t="s">
        <v>42</v>
      </c>
      <c r="AG21" s="9" t="s">
        <v>1</v>
      </c>
      <c r="AH21" s="10" t="s">
        <v>3</v>
      </c>
      <c r="AI21" s="172"/>
      <c r="AJ21" s="147" t="s">
        <v>42</v>
      </c>
      <c r="AK21" s="9" t="s">
        <v>4</v>
      </c>
      <c r="AL21" s="9" t="s">
        <v>5</v>
      </c>
      <c r="AM21" s="147" t="s">
        <v>42</v>
      </c>
      <c r="AN21" s="9" t="s">
        <v>1</v>
      </c>
      <c r="AO21" s="10" t="s">
        <v>3</v>
      </c>
      <c r="AP21" s="147" t="s">
        <v>42</v>
      </c>
      <c r="AQ21" s="9" t="s">
        <v>4</v>
      </c>
      <c r="AR21" s="9" t="s">
        <v>5</v>
      </c>
      <c r="AS21" s="148"/>
      <c r="AT21" s="148"/>
    </row>
    <row r="22" spans="1:46" ht="32.25" customHeight="1">
      <c r="A22" s="131"/>
      <c r="B22" s="132"/>
      <c r="C22" s="148"/>
      <c r="D22" s="7" t="s">
        <v>2</v>
      </c>
      <c r="E22" s="8" t="s">
        <v>2</v>
      </c>
      <c r="F22" s="8" t="s">
        <v>2</v>
      </c>
      <c r="G22" s="8" t="s">
        <v>2</v>
      </c>
      <c r="H22" s="8" t="s">
        <v>2</v>
      </c>
      <c r="I22" s="8" t="s">
        <v>2</v>
      </c>
      <c r="J22" s="148"/>
      <c r="K22" s="9" t="s">
        <v>2</v>
      </c>
      <c r="L22" s="9" t="s">
        <v>2</v>
      </c>
      <c r="M22" s="9" t="s">
        <v>2</v>
      </c>
      <c r="N22" s="9" t="s">
        <v>2</v>
      </c>
      <c r="O22" s="9" t="s">
        <v>2</v>
      </c>
      <c r="P22" s="9" t="s">
        <v>2</v>
      </c>
      <c r="Q22" s="124" t="s">
        <v>2</v>
      </c>
      <c r="R22" s="117" t="s">
        <v>2</v>
      </c>
      <c r="S22" s="161"/>
      <c r="T22" s="117" t="s">
        <v>2</v>
      </c>
      <c r="U22" s="117" t="s">
        <v>2</v>
      </c>
      <c r="V22" s="117" t="s">
        <v>2</v>
      </c>
      <c r="W22" s="117" t="s">
        <v>2</v>
      </c>
      <c r="X22" s="117" t="s">
        <v>2</v>
      </c>
      <c r="Y22" s="117" t="s">
        <v>2</v>
      </c>
      <c r="Z22" s="148"/>
      <c r="AA22" s="9" t="s">
        <v>2</v>
      </c>
      <c r="AB22" s="9" t="s">
        <v>2</v>
      </c>
      <c r="AC22" s="148"/>
      <c r="AD22" s="9" t="s">
        <v>2</v>
      </c>
      <c r="AE22" s="9" t="s">
        <v>2</v>
      </c>
      <c r="AF22" s="148"/>
      <c r="AG22" s="9" t="s">
        <v>2</v>
      </c>
      <c r="AH22" s="9" t="s">
        <v>2</v>
      </c>
      <c r="AI22" s="63" t="s">
        <v>100</v>
      </c>
      <c r="AJ22" s="148"/>
      <c r="AK22" s="9" t="s">
        <v>2</v>
      </c>
      <c r="AL22" s="9" t="s">
        <v>2</v>
      </c>
      <c r="AM22" s="148"/>
      <c r="AN22" s="9" t="s">
        <v>2</v>
      </c>
      <c r="AO22" s="9" t="s">
        <v>2</v>
      </c>
      <c r="AP22" s="148"/>
      <c r="AQ22" s="9" t="s">
        <v>2</v>
      </c>
      <c r="AR22" s="9" t="s">
        <v>2</v>
      </c>
      <c r="AS22" s="9" t="s">
        <v>2</v>
      </c>
      <c r="AT22" s="9" t="s">
        <v>2</v>
      </c>
    </row>
    <row r="23" spans="1:46" ht="10.5" customHeight="1" thickBot="1">
      <c r="A23" s="133"/>
      <c r="B23" s="134"/>
      <c r="C23" s="149"/>
      <c r="D23" s="11"/>
      <c r="E23" s="12"/>
      <c r="F23" s="13"/>
      <c r="G23" s="12"/>
      <c r="H23" s="12"/>
      <c r="I23" s="12"/>
      <c r="J23" s="149"/>
      <c r="K23" s="12"/>
      <c r="L23" s="12"/>
      <c r="M23" s="14"/>
      <c r="N23" s="12"/>
      <c r="O23" s="12"/>
      <c r="P23" s="12"/>
      <c r="Q23" s="125"/>
      <c r="R23" s="118"/>
      <c r="S23" s="162"/>
      <c r="T23" s="118"/>
      <c r="U23" s="118"/>
      <c r="V23" s="119"/>
      <c r="W23" s="118"/>
      <c r="X23" s="118"/>
      <c r="Y23" s="118"/>
      <c r="Z23" s="149"/>
      <c r="AA23" s="12"/>
      <c r="AB23" s="12"/>
      <c r="AC23" s="149"/>
      <c r="AD23" s="12"/>
      <c r="AE23" s="12"/>
      <c r="AF23" s="149"/>
      <c r="AG23" s="12"/>
      <c r="AH23" s="12"/>
      <c r="AI23" s="95"/>
      <c r="AJ23" s="149"/>
      <c r="AK23" s="12"/>
      <c r="AL23" s="12"/>
      <c r="AM23" s="149"/>
      <c r="AN23" s="12"/>
      <c r="AO23" s="12"/>
      <c r="AP23" s="149"/>
      <c r="AQ23" s="12"/>
      <c r="AR23" s="12"/>
      <c r="AS23" s="15"/>
      <c r="AT23" s="15"/>
    </row>
    <row r="24" spans="1:46" ht="34.5" thickBot="1">
      <c r="A24" s="81">
        <v>0</v>
      </c>
      <c r="B24" s="16">
        <v>1</v>
      </c>
      <c r="C24" s="17" t="s">
        <v>107</v>
      </c>
      <c r="D24" s="18">
        <v>3</v>
      </c>
      <c r="E24" s="80">
        <v>4</v>
      </c>
      <c r="F24" s="80" t="s">
        <v>43</v>
      </c>
      <c r="G24" s="80">
        <v>6</v>
      </c>
      <c r="H24" s="80">
        <v>7</v>
      </c>
      <c r="I24" s="80" t="s">
        <v>44</v>
      </c>
      <c r="J24" s="80" t="s">
        <v>108</v>
      </c>
      <c r="K24" s="80">
        <v>10</v>
      </c>
      <c r="L24" s="80">
        <v>11</v>
      </c>
      <c r="M24" s="80" t="s">
        <v>45</v>
      </c>
      <c r="N24" s="80">
        <v>13</v>
      </c>
      <c r="O24" s="80">
        <v>14</v>
      </c>
      <c r="P24" s="80" t="s">
        <v>46</v>
      </c>
      <c r="Q24" s="121">
        <v>16</v>
      </c>
      <c r="R24" s="121">
        <v>17</v>
      </c>
      <c r="S24" s="120" t="s">
        <v>138</v>
      </c>
      <c r="T24" s="120" t="s">
        <v>126</v>
      </c>
      <c r="U24" s="120" t="s">
        <v>127</v>
      </c>
      <c r="V24" s="120" t="s">
        <v>128</v>
      </c>
      <c r="W24" s="120" t="s">
        <v>129</v>
      </c>
      <c r="X24" s="120" t="s">
        <v>130</v>
      </c>
      <c r="Y24" s="120" t="s">
        <v>131</v>
      </c>
      <c r="Z24" s="80" t="s">
        <v>116</v>
      </c>
      <c r="AA24" s="80">
        <v>19</v>
      </c>
      <c r="AB24" s="80">
        <v>20</v>
      </c>
      <c r="AC24" s="80" t="s">
        <v>117</v>
      </c>
      <c r="AD24" s="80">
        <v>22</v>
      </c>
      <c r="AE24" s="80">
        <v>23</v>
      </c>
      <c r="AF24" s="80" t="s">
        <v>118</v>
      </c>
      <c r="AG24" s="80">
        <v>25</v>
      </c>
      <c r="AH24" s="80">
        <v>26</v>
      </c>
      <c r="AI24" s="64" t="s">
        <v>124</v>
      </c>
      <c r="AJ24" s="80" t="s">
        <v>119</v>
      </c>
      <c r="AK24" s="80">
        <v>29</v>
      </c>
      <c r="AL24" s="80">
        <v>30</v>
      </c>
      <c r="AM24" s="80" t="s">
        <v>120</v>
      </c>
      <c r="AN24" s="80" t="s">
        <v>135</v>
      </c>
      <c r="AO24" s="80" t="s">
        <v>140</v>
      </c>
      <c r="AP24" s="80" t="s">
        <v>121</v>
      </c>
      <c r="AQ24" s="80" t="s">
        <v>141</v>
      </c>
      <c r="AR24" s="80" t="s">
        <v>142</v>
      </c>
      <c r="AS24" s="80" t="s">
        <v>122</v>
      </c>
      <c r="AT24" s="126" t="s">
        <v>143</v>
      </c>
    </row>
    <row r="25" spans="1:46" ht="15">
      <c r="A25" s="157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9"/>
    </row>
    <row r="26" spans="1:46" ht="27.75" customHeight="1">
      <c r="A26" s="127" t="s">
        <v>7</v>
      </c>
      <c r="B26" s="127"/>
      <c r="C26" s="19"/>
      <c r="D26" s="20"/>
      <c r="E26" s="20"/>
      <c r="F26" s="21"/>
      <c r="G26" s="20"/>
      <c r="H26" s="20"/>
      <c r="I26" s="20"/>
      <c r="J26" s="21"/>
      <c r="K26" s="20"/>
      <c r="L26" s="20"/>
      <c r="M26" s="20"/>
      <c r="N26" s="20"/>
      <c r="O26" s="20"/>
      <c r="P26" s="20"/>
      <c r="Q26" s="20"/>
      <c r="R26" s="20"/>
      <c r="S26" s="21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2"/>
      <c r="AG26" s="98"/>
      <c r="AH26" s="98"/>
      <c r="AI26" s="88"/>
      <c r="AJ26" s="98"/>
      <c r="AK26" s="98"/>
      <c r="AL26" s="98"/>
      <c r="AM26" s="98"/>
      <c r="AN26" s="98"/>
      <c r="AO26" s="98"/>
      <c r="AP26" s="98"/>
      <c r="AQ26" s="98"/>
      <c r="AR26" s="98"/>
      <c r="AS26" s="99"/>
      <c r="AT26" s="100"/>
    </row>
    <row r="27" spans="1:46" ht="15">
      <c r="A27" s="84">
        <v>1.1</v>
      </c>
      <c r="B27" s="23" t="s">
        <v>8</v>
      </c>
      <c r="C27" s="24">
        <f>F27+I27</f>
        <v>0</v>
      </c>
      <c r="D27" s="25"/>
      <c r="E27" s="25"/>
      <c r="F27" s="24">
        <f>D27+E27</f>
        <v>0</v>
      </c>
      <c r="G27" s="26"/>
      <c r="H27" s="26"/>
      <c r="I27" s="24">
        <f>G27+H27</f>
        <v>0</v>
      </c>
      <c r="J27" s="24">
        <f>M27+P27</f>
        <v>0</v>
      </c>
      <c r="K27" s="26">
        <f>0.95*0</f>
        <v>0</v>
      </c>
      <c r="L27" s="26">
        <f>0.19*K27</f>
        <v>0</v>
      </c>
      <c r="M27" s="26">
        <f>K27+L27</f>
        <v>0</v>
      </c>
      <c r="N27" s="26">
        <f>0.05*0</f>
        <v>0</v>
      </c>
      <c r="O27" s="26">
        <f>0.19*N27</f>
        <v>0</v>
      </c>
      <c r="P27" s="26">
        <f>N27+O27</f>
        <v>0</v>
      </c>
      <c r="Q27" s="26"/>
      <c r="R27" s="26"/>
      <c r="S27" s="24">
        <f>V27+Y27</f>
        <v>0</v>
      </c>
      <c r="T27" s="26">
        <f>0.95*0</f>
        <v>0</v>
      </c>
      <c r="U27" s="26">
        <f>0.19*T27</f>
        <v>0</v>
      </c>
      <c r="V27" s="26">
        <f>T27+U27</f>
        <v>0</v>
      </c>
      <c r="W27" s="26">
        <f>0.05*0</f>
        <v>0</v>
      </c>
      <c r="X27" s="26">
        <f>0.19*W27</f>
        <v>0</v>
      </c>
      <c r="Y27" s="26">
        <f>W27+X27</f>
        <v>0</v>
      </c>
      <c r="Z27" s="26">
        <f>AA27+AB27</f>
        <v>0</v>
      </c>
      <c r="AA27" s="26"/>
      <c r="AB27" s="26"/>
      <c r="AC27" s="26">
        <f>AD27+AE27</f>
        <v>0</v>
      </c>
      <c r="AD27" s="26"/>
      <c r="AE27" s="26"/>
      <c r="AF27" s="27">
        <f>AG27+AH27</f>
        <v>0</v>
      </c>
      <c r="AG27" s="57"/>
      <c r="AH27" s="57"/>
      <c r="AI27" s="86" t="e">
        <f>(Z27+AF27)/(95/100*#REF!)</f>
        <v>#REF!</v>
      </c>
      <c r="AJ27" s="57">
        <f>AK27+AL27</f>
        <v>0</v>
      </c>
      <c r="AK27" s="57"/>
      <c r="AL27" s="57"/>
      <c r="AM27" s="57">
        <f>AN27+AO27</f>
        <v>0</v>
      </c>
      <c r="AN27" s="57">
        <f aca="true" t="shared" si="0" ref="AN27:AO30">K27-AA27-AG27</f>
        <v>0</v>
      </c>
      <c r="AO27" s="57">
        <f t="shared" si="0"/>
        <v>0</v>
      </c>
      <c r="AP27" s="57">
        <f>AQ27+AR27</f>
        <v>0</v>
      </c>
      <c r="AQ27" s="57">
        <f aca="true" t="shared" si="1" ref="AQ27:AR30">N27-AD27-AK27</f>
        <v>0</v>
      </c>
      <c r="AR27" s="57">
        <f t="shared" si="1"/>
        <v>0</v>
      </c>
      <c r="AS27" s="58">
        <f>AM27+AP27</f>
        <v>0</v>
      </c>
      <c r="AT27" s="57">
        <f>C27-J27</f>
        <v>0</v>
      </c>
    </row>
    <row r="28" spans="1:46" ht="15">
      <c r="A28" s="84">
        <v>1.2</v>
      </c>
      <c r="B28" s="23" t="s">
        <v>9</v>
      </c>
      <c r="C28" s="24">
        <f>F28+I28</f>
        <v>1011500</v>
      </c>
      <c r="D28" s="48">
        <f>850000*0.95</f>
        <v>807500</v>
      </c>
      <c r="E28" s="25">
        <f>161500*0.95</f>
        <v>153425</v>
      </c>
      <c r="F28" s="24">
        <f>D28+E28</f>
        <v>960925</v>
      </c>
      <c r="G28" s="25">
        <f>850000*0.05</f>
        <v>42500</v>
      </c>
      <c r="H28" s="25">
        <f>161500*0.05</f>
        <v>8075</v>
      </c>
      <c r="I28" s="24">
        <f>G28+H28</f>
        <v>50575</v>
      </c>
      <c r="J28" s="24">
        <f>M28+P28</f>
        <v>1011500</v>
      </c>
      <c r="K28" s="26">
        <f>0.95*850000</f>
        <v>807500</v>
      </c>
      <c r="L28" s="26">
        <f>0.19*K28</f>
        <v>153425</v>
      </c>
      <c r="M28" s="26">
        <f>K28+L28</f>
        <v>960925</v>
      </c>
      <c r="N28" s="26">
        <f>0.05*850000</f>
        <v>42500</v>
      </c>
      <c r="O28" s="26">
        <f>0.19*N28</f>
        <v>8075</v>
      </c>
      <c r="P28" s="26">
        <f>N28+O28</f>
        <v>50575</v>
      </c>
      <c r="Q28" s="26"/>
      <c r="R28" s="26"/>
      <c r="S28" s="24">
        <f>V28+Y28</f>
        <v>0</v>
      </c>
      <c r="T28" s="26">
        <f>0.95*0</f>
        <v>0</v>
      </c>
      <c r="U28" s="26">
        <f>0.19*T28</f>
        <v>0</v>
      </c>
      <c r="V28" s="26">
        <f>T28+U28</f>
        <v>0</v>
      </c>
      <c r="W28" s="26">
        <f>0.05*0</f>
        <v>0</v>
      </c>
      <c r="X28" s="26">
        <f>0.19*W28</f>
        <v>0</v>
      </c>
      <c r="Y28" s="26">
        <f>W28+X28</f>
        <v>0</v>
      </c>
      <c r="Z28" s="26">
        <f>AA28+AB28</f>
        <v>0</v>
      </c>
      <c r="AA28" s="26"/>
      <c r="AB28" s="26"/>
      <c r="AC28" s="26">
        <f>AD28+AE28</f>
        <v>0</v>
      </c>
      <c r="AD28" s="26"/>
      <c r="AE28" s="26"/>
      <c r="AF28" s="27">
        <f>AG28+AH28</f>
        <v>0</v>
      </c>
      <c r="AG28" s="57"/>
      <c r="AH28" s="57"/>
      <c r="AI28" s="86" t="e">
        <f>(Z28+AF28)/(95/100*#REF!)</f>
        <v>#REF!</v>
      </c>
      <c r="AJ28" s="57">
        <f>AK28+AL28</f>
        <v>0</v>
      </c>
      <c r="AK28" s="57"/>
      <c r="AL28" s="57"/>
      <c r="AM28" s="57">
        <f>AN28+AO28</f>
        <v>960925</v>
      </c>
      <c r="AN28" s="57">
        <f t="shared" si="0"/>
        <v>807500</v>
      </c>
      <c r="AO28" s="57">
        <f t="shared" si="0"/>
        <v>153425</v>
      </c>
      <c r="AP28" s="57">
        <f>AQ28+AR28</f>
        <v>50575</v>
      </c>
      <c r="AQ28" s="57">
        <f t="shared" si="1"/>
        <v>42500</v>
      </c>
      <c r="AR28" s="57">
        <f t="shared" si="1"/>
        <v>8075</v>
      </c>
      <c r="AS28" s="58">
        <f>AM28+AP28</f>
        <v>1011500</v>
      </c>
      <c r="AT28" s="57">
        <f>C28-J28</f>
        <v>0</v>
      </c>
    </row>
    <row r="29" spans="1:46" ht="22.5">
      <c r="A29" s="84">
        <v>1.3</v>
      </c>
      <c r="B29" s="23" t="s">
        <v>48</v>
      </c>
      <c r="C29" s="24">
        <f>F29+I29</f>
        <v>3828760.28</v>
      </c>
      <c r="D29" s="48">
        <f>3217445.61*0.95</f>
        <v>3056573.3294999995</v>
      </c>
      <c r="E29" s="25">
        <f>611314.67*0.95</f>
        <v>580748.9365000001</v>
      </c>
      <c r="F29" s="24">
        <f>D29+E29</f>
        <v>3637322.266</v>
      </c>
      <c r="G29" s="48">
        <f>3217445.61*0.05</f>
        <v>160872.2805</v>
      </c>
      <c r="H29" s="25">
        <f>611314.67*0.05</f>
        <v>30565.733500000002</v>
      </c>
      <c r="I29" s="24">
        <f>G29+H29</f>
        <v>191438.014</v>
      </c>
      <c r="J29" s="24">
        <f>M29+P29</f>
        <v>779117.2879000001</v>
      </c>
      <c r="K29" s="26">
        <f>0.95*654720.41</f>
        <v>621984.3895</v>
      </c>
      <c r="L29" s="26">
        <f>0.19*K29</f>
        <v>118177.03400500001</v>
      </c>
      <c r="M29" s="26">
        <f>K29+L29</f>
        <v>740161.4235050001</v>
      </c>
      <c r="N29" s="26">
        <f>0.05*654720.41</f>
        <v>32736.020500000002</v>
      </c>
      <c r="O29" s="26">
        <f>0.19*N29</f>
        <v>6219.843895000001</v>
      </c>
      <c r="P29" s="26">
        <f>N29+O29</f>
        <v>38955.864395000004</v>
      </c>
      <c r="Q29" s="26"/>
      <c r="R29" s="26"/>
      <c r="S29" s="24">
        <f>V29+Y29</f>
        <v>0</v>
      </c>
      <c r="T29" s="26">
        <f>0.95*0</f>
        <v>0</v>
      </c>
      <c r="U29" s="26">
        <f>0.19*T29</f>
        <v>0</v>
      </c>
      <c r="V29" s="26">
        <f>T29+U29</f>
        <v>0</v>
      </c>
      <c r="W29" s="26">
        <f>0.05*0</f>
        <v>0</v>
      </c>
      <c r="X29" s="26">
        <f>0.19*W29</f>
        <v>0</v>
      </c>
      <c r="Y29" s="26">
        <f>W29+X29</f>
        <v>0</v>
      </c>
      <c r="Z29" s="26">
        <f>AA29+AB29</f>
        <v>0</v>
      </c>
      <c r="AA29" s="26"/>
      <c r="AB29" s="26"/>
      <c r="AC29" s="26">
        <f>AD29+AE29</f>
        <v>0</v>
      </c>
      <c r="AD29" s="26"/>
      <c r="AE29" s="26"/>
      <c r="AF29" s="27">
        <f>AG29+AH29</f>
        <v>0</v>
      </c>
      <c r="AG29" s="57"/>
      <c r="AH29" s="57"/>
      <c r="AI29" s="86" t="e">
        <f>(Z29+AF29)/(95/100*#REF!)</f>
        <v>#REF!</v>
      </c>
      <c r="AJ29" s="57">
        <f>AK29+AL29</f>
        <v>0</v>
      </c>
      <c r="AK29" s="57"/>
      <c r="AL29" s="57"/>
      <c r="AM29" s="57">
        <f>AN29+AO29</f>
        <v>740161.4235050001</v>
      </c>
      <c r="AN29" s="57">
        <f t="shared" si="0"/>
        <v>621984.3895</v>
      </c>
      <c r="AO29" s="57">
        <f t="shared" si="0"/>
        <v>118177.03400500001</v>
      </c>
      <c r="AP29" s="57">
        <f>AQ29+AR29</f>
        <v>38955.864395000004</v>
      </c>
      <c r="AQ29" s="57">
        <f t="shared" si="1"/>
        <v>32736.020500000002</v>
      </c>
      <c r="AR29" s="57">
        <f t="shared" si="1"/>
        <v>6219.843895000001</v>
      </c>
      <c r="AS29" s="58">
        <f>AM29+AP29</f>
        <v>779117.2879000001</v>
      </c>
      <c r="AT29" s="57">
        <f>C29-J29</f>
        <v>3049642.9920999995</v>
      </c>
    </row>
    <row r="30" spans="1:46" ht="22.5">
      <c r="A30" s="84">
        <v>1.4</v>
      </c>
      <c r="B30" s="23" t="s">
        <v>10</v>
      </c>
      <c r="C30" s="24">
        <f>F30+I30</f>
        <v>430780</v>
      </c>
      <c r="D30" s="48">
        <f>362000*0.95</f>
        <v>343900</v>
      </c>
      <c r="E30" s="25">
        <f>68780*0.95</f>
        <v>65341</v>
      </c>
      <c r="F30" s="24">
        <f>D30+E30</f>
        <v>409241</v>
      </c>
      <c r="G30" s="48">
        <f>362000*0.05</f>
        <v>18100</v>
      </c>
      <c r="H30" s="25">
        <f>68780*0.05</f>
        <v>3439</v>
      </c>
      <c r="I30" s="24">
        <f>G30+H30</f>
        <v>21539</v>
      </c>
      <c r="J30" s="24">
        <f>M30+P30</f>
        <v>430780</v>
      </c>
      <c r="K30" s="26">
        <f>0.95*362000</f>
        <v>343900</v>
      </c>
      <c r="L30" s="26">
        <f>0.19*K30</f>
        <v>65341</v>
      </c>
      <c r="M30" s="26">
        <f>K30+L30</f>
        <v>409241</v>
      </c>
      <c r="N30" s="26">
        <f>0.05*362000</f>
        <v>18100</v>
      </c>
      <c r="O30" s="26">
        <f>0.19*N30</f>
        <v>3439</v>
      </c>
      <c r="P30" s="26">
        <f>N30+O30</f>
        <v>21539</v>
      </c>
      <c r="Q30" s="26"/>
      <c r="R30" s="26"/>
      <c r="S30" s="24">
        <f>V30+Y30</f>
        <v>0</v>
      </c>
      <c r="T30" s="26">
        <f>0.95*0</f>
        <v>0</v>
      </c>
      <c r="U30" s="26">
        <f>0.19*T30</f>
        <v>0</v>
      </c>
      <c r="V30" s="26">
        <f>T30+U30</f>
        <v>0</v>
      </c>
      <c r="W30" s="26">
        <f>0.05*0</f>
        <v>0</v>
      </c>
      <c r="X30" s="26">
        <f>0.19*W30</f>
        <v>0</v>
      </c>
      <c r="Y30" s="26">
        <f>W30+X30</f>
        <v>0</v>
      </c>
      <c r="Z30" s="26">
        <f>AA30+AB30</f>
        <v>0</v>
      </c>
      <c r="AA30" s="26"/>
      <c r="AB30" s="26"/>
      <c r="AC30" s="26">
        <f>AD30+AE30</f>
        <v>0</v>
      </c>
      <c r="AD30" s="26"/>
      <c r="AE30" s="26"/>
      <c r="AF30" s="27">
        <f>AG30+AH30</f>
        <v>0</v>
      </c>
      <c r="AG30" s="57"/>
      <c r="AH30" s="57"/>
      <c r="AI30" s="86" t="e">
        <f>(Z30+AF30)/(95/100*#REF!)</f>
        <v>#REF!</v>
      </c>
      <c r="AJ30" s="57">
        <f>AK30+AL30</f>
        <v>0</v>
      </c>
      <c r="AK30" s="57"/>
      <c r="AL30" s="57"/>
      <c r="AM30" s="57">
        <f>AN30+AO30</f>
        <v>409241</v>
      </c>
      <c r="AN30" s="57">
        <f t="shared" si="0"/>
        <v>343900</v>
      </c>
      <c r="AO30" s="57">
        <f t="shared" si="0"/>
        <v>65341</v>
      </c>
      <c r="AP30" s="57">
        <f>AQ30+AR30</f>
        <v>21539</v>
      </c>
      <c r="AQ30" s="57">
        <f t="shared" si="1"/>
        <v>18100</v>
      </c>
      <c r="AR30" s="57">
        <f t="shared" si="1"/>
        <v>3439</v>
      </c>
      <c r="AS30" s="58">
        <f>AM30+AP30</f>
        <v>430780</v>
      </c>
      <c r="AT30" s="57">
        <f>C30-J30</f>
        <v>0</v>
      </c>
    </row>
    <row r="31" spans="1:46" s="96" customFormat="1" ht="15">
      <c r="A31" s="127" t="s">
        <v>11</v>
      </c>
      <c r="B31" s="127"/>
      <c r="C31" s="19">
        <f aca="true" t="shared" si="2" ref="C31:AI31">SUM(C27:C30)</f>
        <v>5271040.279999999</v>
      </c>
      <c r="D31" s="19">
        <f t="shared" si="2"/>
        <v>4207973.329499999</v>
      </c>
      <c r="E31" s="19">
        <f t="shared" si="2"/>
        <v>799514.9365000001</v>
      </c>
      <c r="F31" s="19">
        <f t="shared" si="2"/>
        <v>5007488.266</v>
      </c>
      <c r="G31" s="19">
        <f t="shared" si="2"/>
        <v>221472.2805</v>
      </c>
      <c r="H31" s="19">
        <f t="shared" si="2"/>
        <v>42079.7335</v>
      </c>
      <c r="I31" s="19">
        <f t="shared" si="2"/>
        <v>263552.01399999997</v>
      </c>
      <c r="J31" s="19">
        <f t="shared" si="2"/>
        <v>2221397.2879</v>
      </c>
      <c r="K31" s="19">
        <f t="shared" si="2"/>
        <v>1773384.3895</v>
      </c>
      <c r="L31" s="19">
        <f t="shared" si="2"/>
        <v>336943.034005</v>
      </c>
      <c r="M31" s="28">
        <f t="shared" si="2"/>
        <v>2110327.423505</v>
      </c>
      <c r="N31" s="28">
        <f>SUM(N27:N30)</f>
        <v>93336.0205</v>
      </c>
      <c r="O31" s="28">
        <f>SUM(O27:O30)</f>
        <v>17733.843895</v>
      </c>
      <c r="P31" s="28">
        <f t="shared" si="2"/>
        <v>111069.86439500001</v>
      </c>
      <c r="Q31" s="28"/>
      <c r="R31" s="28"/>
      <c r="S31" s="19">
        <f aca="true" t="shared" si="3" ref="S31:Y31">SUM(S27:S30)</f>
        <v>0</v>
      </c>
      <c r="T31" s="19">
        <f t="shared" si="3"/>
        <v>0</v>
      </c>
      <c r="U31" s="19">
        <f t="shared" si="3"/>
        <v>0</v>
      </c>
      <c r="V31" s="28">
        <f t="shared" si="3"/>
        <v>0</v>
      </c>
      <c r="W31" s="28">
        <f t="shared" si="3"/>
        <v>0</v>
      </c>
      <c r="X31" s="28">
        <f t="shared" si="3"/>
        <v>0</v>
      </c>
      <c r="Y31" s="28">
        <f t="shared" si="3"/>
        <v>0</v>
      </c>
      <c r="Z31" s="28">
        <f t="shared" si="2"/>
        <v>0</v>
      </c>
      <c r="AA31" s="28">
        <f t="shared" si="2"/>
        <v>0</v>
      </c>
      <c r="AB31" s="28">
        <f t="shared" si="2"/>
        <v>0</v>
      </c>
      <c r="AC31" s="28">
        <f t="shared" si="2"/>
        <v>0</v>
      </c>
      <c r="AD31" s="28">
        <f t="shared" si="2"/>
        <v>0</v>
      </c>
      <c r="AE31" s="28">
        <f t="shared" si="2"/>
        <v>0</v>
      </c>
      <c r="AF31" s="29">
        <f t="shared" si="2"/>
        <v>0</v>
      </c>
      <c r="AG31" s="29">
        <f t="shared" si="2"/>
        <v>0</v>
      </c>
      <c r="AH31" s="29">
        <f t="shared" si="2"/>
        <v>0</v>
      </c>
      <c r="AI31" s="85" t="e">
        <f t="shared" si="2"/>
        <v>#REF!</v>
      </c>
      <c r="AJ31" s="101">
        <f aca="true" t="shared" si="4" ref="AJ31:AT31">SUM(AJ27:AJ30)</f>
        <v>0</v>
      </c>
      <c r="AK31" s="101">
        <f t="shared" si="4"/>
        <v>0</v>
      </c>
      <c r="AL31" s="101">
        <f t="shared" si="4"/>
        <v>0</v>
      </c>
      <c r="AM31" s="101">
        <f t="shared" si="4"/>
        <v>2110327.423505</v>
      </c>
      <c r="AN31" s="101">
        <f>SUM(AN27:AN30)</f>
        <v>1773384.3895</v>
      </c>
      <c r="AO31" s="101">
        <f t="shared" si="4"/>
        <v>336943.034005</v>
      </c>
      <c r="AP31" s="101">
        <f t="shared" si="4"/>
        <v>111069.86439500001</v>
      </c>
      <c r="AQ31" s="101">
        <f t="shared" si="4"/>
        <v>93336.0205</v>
      </c>
      <c r="AR31" s="101">
        <f t="shared" si="4"/>
        <v>17733.843895</v>
      </c>
      <c r="AS31" s="102">
        <f t="shared" si="4"/>
        <v>2221397.2879</v>
      </c>
      <c r="AT31" s="101">
        <f t="shared" si="4"/>
        <v>3049642.9920999995</v>
      </c>
    </row>
    <row r="32" spans="1:46" ht="15">
      <c r="A32" s="164"/>
      <c r="B32" s="164"/>
      <c r="C32" s="30"/>
      <c r="D32" s="31"/>
      <c r="E32" s="31"/>
      <c r="F32" s="32"/>
      <c r="G32" s="31"/>
      <c r="H32" s="31"/>
      <c r="I32" s="32"/>
      <c r="J32" s="32"/>
      <c r="K32" s="31"/>
      <c r="L32" s="31"/>
      <c r="M32" s="31"/>
      <c r="N32" s="31"/>
      <c r="O32" s="31"/>
      <c r="P32" s="31"/>
      <c r="Q32" s="31"/>
      <c r="R32" s="31"/>
      <c r="S32" s="32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3"/>
      <c r="AG32" s="103"/>
      <c r="AH32" s="103"/>
      <c r="AI32" s="89"/>
      <c r="AJ32" s="103"/>
      <c r="AK32" s="103"/>
      <c r="AL32" s="103"/>
      <c r="AM32" s="103"/>
      <c r="AN32" s="103"/>
      <c r="AO32" s="103"/>
      <c r="AP32" s="103"/>
      <c r="AQ32" s="103"/>
      <c r="AR32" s="103"/>
      <c r="AS32" s="104"/>
      <c r="AT32" s="105"/>
    </row>
    <row r="33" spans="1:46" ht="42" customHeight="1">
      <c r="A33" s="127" t="s">
        <v>144</v>
      </c>
      <c r="B33" s="127"/>
      <c r="C33" s="19"/>
      <c r="D33" s="20"/>
      <c r="E33" s="20"/>
      <c r="F33" s="21"/>
      <c r="G33" s="20"/>
      <c r="H33" s="20"/>
      <c r="I33" s="21"/>
      <c r="J33" s="21"/>
      <c r="K33" s="20"/>
      <c r="L33" s="20"/>
      <c r="M33" s="20"/>
      <c r="N33" s="20"/>
      <c r="O33" s="20"/>
      <c r="P33" s="20"/>
      <c r="Q33" s="20"/>
      <c r="R33" s="20"/>
      <c r="S33" s="21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2"/>
      <c r="AG33" s="98"/>
      <c r="AH33" s="98"/>
      <c r="AI33" s="88"/>
      <c r="AJ33" s="98"/>
      <c r="AK33" s="98"/>
      <c r="AL33" s="98"/>
      <c r="AM33" s="98"/>
      <c r="AN33" s="98"/>
      <c r="AO33" s="98"/>
      <c r="AP33" s="98"/>
      <c r="AQ33" s="98"/>
      <c r="AR33" s="98"/>
      <c r="AS33" s="99"/>
      <c r="AT33" s="100"/>
    </row>
    <row r="34" spans="1:46" s="106" customFormat="1" ht="15">
      <c r="A34" s="34">
        <v>2.1</v>
      </c>
      <c r="B34" s="35" t="s">
        <v>115</v>
      </c>
      <c r="C34" s="24">
        <f>F34+I34</f>
        <v>1330561.05</v>
      </c>
      <c r="D34" s="48">
        <f>1118118.53*0.95</f>
        <v>1062212.6035</v>
      </c>
      <c r="E34" s="25">
        <f>212442.52*0.95</f>
        <v>201820.39399999997</v>
      </c>
      <c r="F34" s="24">
        <f>D34+E34</f>
        <v>1264032.9975</v>
      </c>
      <c r="G34" s="48">
        <f>1118118.53*0.05</f>
        <v>55905.9265</v>
      </c>
      <c r="H34" s="25">
        <f>212442.52*0.05</f>
        <v>10622.126</v>
      </c>
      <c r="I34" s="24">
        <f>G34+H34</f>
        <v>66528.0525</v>
      </c>
      <c r="J34" s="24">
        <f>M34+P34</f>
        <v>624347.7799999999</v>
      </c>
      <c r="K34" s="26">
        <f>524662*0.95</f>
        <v>498428.89999999997</v>
      </c>
      <c r="L34" s="26">
        <f>0.19*K34</f>
        <v>94701.491</v>
      </c>
      <c r="M34" s="26">
        <f>K34+L34</f>
        <v>593130.391</v>
      </c>
      <c r="N34" s="26">
        <f>524662*0.05</f>
        <v>26233.100000000002</v>
      </c>
      <c r="O34" s="26">
        <f>0.19*N34</f>
        <v>4984.289000000001</v>
      </c>
      <c r="P34" s="26">
        <f>N34+O34</f>
        <v>31217.389000000003</v>
      </c>
      <c r="Q34" s="26"/>
      <c r="R34" s="26"/>
      <c r="S34" s="24">
        <f>V34+Y34</f>
        <v>0</v>
      </c>
      <c r="T34" s="26">
        <f>0*0.95</f>
        <v>0</v>
      </c>
      <c r="U34" s="26">
        <f>0.19*T34</f>
        <v>0</v>
      </c>
      <c r="V34" s="26">
        <f>T34+U34</f>
        <v>0</v>
      </c>
      <c r="W34" s="26">
        <f>0*0.05</f>
        <v>0</v>
      </c>
      <c r="X34" s="26">
        <f>0.19*W34</f>
        <v>0</v>
      </c>
      <c r="Y34" s="26">
        <f>W34+X34</f>
        <v>0</v>
      </c>
      <c r="Z34" s="26">
        <f>AA34+AB34</f>
        <v>0</v>
      </c>
      <c r="AA34" s="26"/>
      <c r="AB34" s="26"/>
      <c r="AC34" s="26">
        <f>AD34+AE34</f>
        <v>0</v>
      </c>
      <c r="AD34" s="26"/>
      <c r="AE34" s="26"/>
      <c r="AF34" s="27">
        <f>AG34+AH34</f>
        <v>0</v>
      </c>
      <c r="AG34" s="57"/>
      <c r="AH34" s="57"/>
      <c r="AI34" s="86" t="e">
        <f>(Z34+AF34)/(95/100*#REF!)</f>
        <v>#REF!</v>
      </c>
      <c r="AJ34" s="57">
        <f>AK34+AL34</f>
        <v>0</v>
      </c>
      <c r="AK34" s="57"/>
      <c r="AL34" s="57"/>
      <c r="AM34" s="57">
        <f>AN34+AO34</f>
        <v>593130.391</v>
      </c>
      <c r="AN34" s="57">
        <f>K34-AA34-AG34</f>
        <v>498428.89999999997</v>
      </c>
      <c r="AO34" s="57">
        <f>L34-AB34-AH34</f>
        <v>94701.491</v>
      </c>
      <c r="AP34" s="57">
        <f>AQ34+AR34</f>
        <v>31217.389000000003</v>
      </c>
      <c r="AQ34" s="57">
        <f>N34-AD34-AK34</f>
        <v>26233.100000000002</v>
      </c>
      <c r="AR34" s="57">
        <f>O34-AE34-AL34</f>
        <v>4984.289000000001</v>
      </c>
      <c r="AS34" s="58">
        <f>AM34+AP34</f>
        <v>624347.7799999999</v>
      </c>
      <c r="AT34" s="57">
        <f>C34-J34</f>
        <v>706213.2700000001</v>
      </c>
    </row>
    <row r="35" spans="1:46" ht="15">
      <c r="A35" s="127" t="s">
        <v>12</v>
      </c>
      <c r="B35" s="127"/>
      <c r="C35" s="19">
        <f>SUM(C34)</f>
        <v>1330561.05</v>
      </c>
      <c r="D35" s="19">
        <f aca="true" t="shared" si="5" ref="D35:AT35">SUM(D34)</f>
        <v>1062212.6035</v>
      </c>
      <c r="E35" s="19">
        <f t="shared" si="5"/>
        <v>201820.39399999997</v>
      </c>
      <c r="F35" s="19">
        <f t="shared" si="5"/>
        <v>1264032.9975</v>
      </c>
      <c r="G35" s="19">
        <f t="shared" si="5"/>
        <v>55905.9265</v>
      </c>
      <c r="H35" s="19">
        <f t="shared" si="5"/>
        <v>10622.126</v>
      </c>
      <c r="I35" s="19">
        <f t="shared" si="5"/>
        <v>66528.0525</v>
      </c>
      <c r="J35" s="19">
        <f t="shared" si="5"/>
        <v>624347.7799999999</v>
      </c>
      <c r="K35" s="19">
        <f t="shared" si="5"/>
        <v>498428.89999999997</v>
      </c>
      <c r="L35" s="19">
        <f t="shared" si="5"/>
        <v>94701.491</v>
      </c>
      <c r="M35" s="19">
        <f t="shared" si="5"/>
        <v>593130.391</v>
      </c>
      <c r="N35" s="19">
        <f>SUM(N34)</f>
        <v>26233.100000000002</v>
      </c>
      <c r="O35" s="19">
        <f>SUM(O34)</f>
        <v>4984.289000000001</v>
      </c>
      <c r="P35" s="19">
        <f t="shared" si="5"/>
        <v>31217.389000000003</v>
      </c>
      <c r="Q35" s="19"/>
      <c r="R35" s="19"/>
      <c r="S35" s="19">
        <f aca="true" t="shared" si="6" ref="S35:Y35">SUM(S34)</f>
        <v>0</v>
      </c>
      <c r="T35" s="19">
        <f t="shared" si="6"/>
        <v>0</v>
      </c>
      <c r="U35" s="19">
        <f t="shared" si="6"/>
        <v>0</v>
      </c>
      <c r="V35" s="19">
        <f t="shared" si="6"/>
        <v>0</v>
      </c>
      <c r="W35" s="19">
        <f t="shared" si="6"/>
        <v>0</v>
      </c>
      <c r="X35" s="19">
        <f t="shared" si="6"/>
        <v>0</v>
      </c>
      <c r="Y35" s="19">
        <f t="shared" si="6"/>
        <v>0</v>
      </c>
      <c r="Z35" s="19">
        <f t="shared" si="5"/>
        <v>0</v>
      </c>
      <c r="AA35" s="19">
        <f t="shared" si="5"/>
        <v>0</v>
      </c>
      <c r="AB35" s="19">
        <f t="shared" si="5"/>
        <v>0</v>
      </c>
      <c r="AC35" s="19">
        <f t="shared" si="5"/>
        <v>0</v>
      </c>
      <c r="AD35" s="19">
        <f t="shared" si="5"/>
        <v>0</v>
      </c>
      <c r="AE35" s="19">
        <f t="shared" si="5"/>
        <v>0</v>
      </c>
      <c r="AF35" s="19">
        <f t="shared" si="5"/>
        <v>0</v>
      </c>
      <c r="AG35" s="19">
        <f t="shared" si="5"/>
        <v>0</v>
      </c>
      <c r="AH35" s="19">
        <f t="shared" si="5"/>
        <v>0</v>
      </c>
      <c r="AI35" s="90"/>
      <c r="AJ35" s="19">
        <f t="shared" si="5"/>
        <v>0</v>
      </c>
      <c r="AK35" s="19">
        <f t="shared" si="5"/>
        <v>0</v>
      </c>
      <c r="AL35" s="19">
        <f t="shared" si="5"/>
        <v>0</v>
      </c>
      <c r="AM35" s="19">
        <f t="shared" si="5"/>
        <v>593130.391</v>
      </c>
      <c r="AN35" s="19">
        <f t="shared" si="5"/>
        <v>498428.89999999997</v>
      </c>
      <c r="AO35" s="19">
        <f t="shared" si="5"/>
        <v>94701.491</v>
      </c>
      <c r="AP35" s="19">
        <f t="shared" si="5"/>
        <v>31217.389000000003</v>
      </c>
      <c r="AQ35" s="19">
        <f t="shared" si="5"/>
        <v>26233.100000000002</v>
      </c>
      <c r="AR35" s="19">
        <f t="shared" si="5"/>
        <v>4984.289000000001</v>
      </c>
      <c r="AS35" s="19">
        <f t="shared" si="5"/>
        <v>624347.7799999999</v>
      </c>
      <c r="AT35" s="19">
        <f t="shared" si="5"/>
        <v>706213.2700000001</v>
      </c>
    </row>
    <row r="36" spans="1:46" ht="15">
      <c r="A36" s="150"/>
      <c r="B36" s="150"/>
      <c r="C36" s="37"/>
      <c r="D36" s="31"/>
      <c r="E36" s="31"/>
      <c r="F36" s="32"/>
      <c r="G36" s="31"/>
      <c r="H36" s="31"/>
      <c r="I36" s="32"/>
      <c r="J36" s="32"/>
      <c r="K36" s="31"/>
      <c r="L36" s="31"/>
      <c r="M36" s="31"/>
      <c r="N36" s="31"/>
      <c r="O36" s="31"/>
      <c r="P36" s="31"/>
      <c r="Q36" s="31"/>
      <c r="R36" s="31"/>
      <c r="S36" s="32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3"/>
      <c r="AG36" s="103"/>
      <c r="AH36" s="103"/>
      <c r="AI36" s="89"/>
      <c r="AJ36" s="103"/>
      <c r="AK36" s="103"/>
      <c r="AL36" s="103"/>
      <c r="AM36" s="103"/>
      <c r="AN36" s="103"/>
      <c r="AO36" s="103"/>
      <c r="AP36" s="103"/>
      <c r="AQ36" s="103"/>
      <c r="AR36" s="103"/>
      <c r="AS36" s="104"/>
      <c r="AT36" s="105"/>
    </row>
    <row r="37" spans="1:46" ht="42" customHeight="1">
      <c r="A37" s="127" t="s">
        <v>13</v>
      </c>
      <c r="B37" s="127"/>
      <c r="C37" s="19"/>
      <c r="D37" s="20"/>
      <c r="E37" s="20"/>
      <c r="F37" s="21"/>
      <c r="G37" s="20"/>
      <c r="H37" s="20"/>
      <c r="I37" s="21"/>
      <c r="J37" s="21"/>
      <c r="K37" s="20"/>
      <c r="L37" s="20"/>
      <c r="M37" s="20"/>
      <c r="N37" s="20"/>
      <c r="O37" s="20"/>
      <c r="P37" s="20"/>
      <c r="Q37" s="20"/>
      <c r="R37" s="20"/>
      <c r="S37" s="21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2"/>
      <c r="AG37" s="98"/>
      <c r="AH37" s="98"/>
      <c r="AI37" s="88"/>
      <c r="AJ37" s="98"/>
      <c r="AK37" s="98"/>
      <c r="AL37" s="98"/>
      <c r="AM37" s="98"/>
      <c r="AN37" s="98"/>
      <c r="AO37" s="98"/>
      <c r="AP37" s="98"/>
      <c r="AQ37" s="98"/>
      <c r="AR37" s="98"/>
      <c r="AS37" s="99"/>
      <c r="AT37" s="100"/>
    </row>
    <row r="38" spans="1:46" s="107" customFormat="1" ht="15">
      <c r="A38" s="49">
        <v>3.1</v>
      </c>
      <c r="B38" s="50" t="s">
        <v>50</v>
      </c>
      <c r="C38" s="51">
        <f aca="true" t="shared" si="7" ref="C38:J38">SUM(C39:C41)</f>
        <v>106505</v>
      </c>
      <c r="D38" s="51">
        <f t="shared" si="7"/>
        <v>85025</v>
      </c>
      <c r="E38" s="51">
        <f t="shared" si="7"/>
        <v>16154.75</v>
      </c>
      <c r="F38" s="51">
        <f t="shared" si="7"/>
        <v>101179.75</v>
      </c>
      <c r="G38" s="51">
        <f t="shared" si="7"/>
        <v>4475</v>
      </c>
      <c r="H38" s="51">
        <f t="shared" si="7"/>
        <v>850.25</v>
      </c>
      <c r="I38" s="51">
        <f t="shared" si="7"/>
        <v>5325.25</v>
      </c>
      <c r="J38" s="51">
        <f t="shared" si="7"/>
        <v>106505</v>
      </c>
      <c r="K38" s="51">
        <f aca="true" t="shared" si="8" ref="K38:P38">SUM(K39:K41)</f>
        <v>85025</v>
      </c>
      <c r="L38" s="51">
        <f t="shared" si="8"/>
        <v>16154.75</v>
      </c>
      <c r="M38" s="51">
        <f t="shared" si="8"/>
        <v>101179.75</v>
      </c>
      <c r="N38" s="51">
        <f t="shared" si="8"/>
        <v>4475</v>
      </c>
      <c r="O38" s="51">
        <f t="shared" si="8"/>
        <v>850.25</v>
      </c>
      <c r="P38" s="51">
        <f t="shared" si="8"/>
        <v>5325.25</v>
      </c>
      <c r="Q38" s="51"/>
      <c r="R38" s="51"/>
      <c r="S38" s="51" t="e">
        <f>SUM(S39:S41)</f>
        <v>#REF!</v>
      </c>
      <c r="T38" s="51" t="e">
        <f aca="true" t="shared" si="9" ref="T38:Y38">SUM(T39:T41)</f>
        <v>#REF!</v>
      </c>
      <c r="U38" s="51" t="e">
        <f t="shared" si="9"/>
        <v>#REF!</v>
      </c>
      <c r="V38" s="51" t="e">
        <f t="shared" si="9"/>
        <v>#REF!</v>
      </c>
      <c r="W38" s="51" t="e">
        <f t="shared" si="9"/>
        <v>#REF!</v>
      </c>
      <c r="X38" s="51" t="e">
        <f t="shared" si="9"/>
        <v>#REF!</v>
      </c>
      <c r="Y38" s="51" t="e">
        <f t="shared" si="9"/>
        <v>#REF!</v>
      </c>
      <c r="Z38" s="51">
        <f>SUM(Z39:Z41)</f>
        <v>10739.75</v>
      </c>
      <c r="AA38" s="51"/>
      <c r="AB38" s="51"/>
      <c r="AC38" s="51">
        <f>SUM(AC39:AC41)</f>
        <v>565.25</v>
      </c>
      <c r="AD38" s="51"/>
      <c r="AE38" s="51"/>
      <c r="AF38" s="51">
        <f>SUM(AF39:AF41)</f>
        <v>111033.67992078583</v>
      </c>
      <c r="AG38" s="51">
        <f>SUM(AG39:AG41)</f>
        <v>91679.19011406845</v>
      </c>
      <c r="AH38" s="51">
        <f>SUM(AH39:AH41)</f>
        <v>19354.489806717364</v>
      </c>
      <c r="AI38" s="86" t="e">
        <f>(Z38+AF38)/(95/100*#REF!)</f>
        <v>#REF!</v>
      </c>
      <c r="AJ38" s="51">
        <f>SUM(AJ39:AJ41)</f>
        <v>5843.878200253486</v>
      </c>
      <c r="AK38" s="51">
        <f>SUM(AK39:AK41)</f>
        <v>4825.220532319392</v>
      </c>
      <c r="AL38" s="51">
        <f>SUM(AL39:AL41)</f>
        <v>1018.657667934094</v>
      </c>
      <c r="AM38" s="51" t="e">
        <f>SUM(AM39:AM41)</f>
        <v>#REF!</v>
      </c>
      <c r="AN38" s="51" t="e">
        <f aca="true" t="shared" si="10" ref="AN38:AS38">SUM(AN39:AN41)</f>
        <v>#REF!</v>
      </c>
      <c r="AO38" s="51" t="e">
        <f t="shared" si="10"/>
        <v>#REF!</v>
      </c>
      <c r="AP38" s="51" t="e">
        <f t="shared" si="10"/>
        <v>#REF!</v>
      </c>
      <c r="AQ38" s="51" t="e">
        <f t="shared" si="10"/>
        <v>#REF!</v>
      </c>
      <c r="AR38" s="51" t="e">
        <f t="shared" si="10"/>
        <v>#REF!</v>
      </c>
      <c r="AS38" s="51" t="e">
        <f t="shared" si="10"/>
        <v>#REF!</v>
      </c>
      <c r="AT38" s="51">
        <f>SUM(AT39:AT41)</f>
        <v>0</v>
      </c>
    </row>
    <row r="39" spans="1:46" ht="15">
      <c r="A39" s="38" t="s">
        <v>49</v>
      </c>
      <c r="B39" s="39" t="s">
        <v>14</v>
      </c>
      <c r="C39" s="24">
        <f aca="true" t="shared" si="11" ref="C39:C44">F39+I39</f>
        <v>41650</v>
      </c>
      <c r="D39" s="48">
        <f>35000*0.95</f>
        <v>33250</v>
      </c>
      <c r="E39" s="25">
        <f>6650*0.95</f>
        <v>6317.5</v>
      </c>
      <c r="F39" s="24">
        <f aca="true" t="shared" si="12" ref="F39:F44">D39+E39</f>
        <v>39567.5</v>
      </c>
      <c r="G39" s="48">
        <f>35000*0.05</f>
        <v>1750</v>
      </c>
      <c r="H39" s="25">
        <f>6650*0.05</f>
        <v>332.5</v>
      </c>
      <c r="I39" s="24">
        <f aca="true" t="shared" si="13" ref="I39:I44">G39+H39</f>
        <v>2082.5</v>
      </c>
      <c r="J39" s="24">
        <f aca="true" t="shared" si="14" ref="J39:J44">M39+P39</f>
        <v>41650</v>
      </c>
      <c r="K39" s="26">
        <f>35000*0.95</f>
        <v>33250</v>
      </c>
      <c r="L39" s="26">
        <f aca="true" t="shared" si="15" ref="L39:L44">0.19*K39</f>
        <v>6317.5</v>
      </c>
      <c r="M39" s="26">
        <f aca="true" t="shared" si="16" ref="M39:M44">K39+L39</f>
        <v>39567.5</v>
      </c>
      <c r="N39" s="26">
        <f>35000*0.05</f>
        <v>1750</v>
      </c>
      <c r="O39" s="26">
        <f aca="true" t="shared" si="17" ref="O39:O44">0.19*N39</f>
        <v>332.5</v>
      </c>
      <c r="P39" s="26">
        <f aca="true" t="shared" si="18" ref="P39:P44">N39+O39</f>
        <v>2082.5</v>
      </c>
      <c r="Q39" s="26"/>
      <c r="R39" s="26"/>
      <c r="S39" s="24" t="e">
        <f aca="true" t="shared" si="19" ref="S39:S44">V39+Y39</f>
        <v>#REF!</v>
      </c>
      <c r="T39" s="26" t="e">
        <f>#REF!/1.19*0.95</f>
        <v>#REF!</v>
      </c>
      <c r="U39" s="26" t="e">
        <f aca="true" t="shared" si="20" ref="U39:U44">0.19*T39</f>
        <v>#REF!</v>
      </c>
      <c r="V39" s="26" t="e">
        <f aca="true" t="shared" si="21" ref="V39:V44">T39+U39</f>
        <v>#REF!</v>
      </c>
      <c r="W39" s="26" t="e">
        <f>#REF!/1.19*0.05</f>
        <v>#REF!</v>
      </c>
      <c r="X39" s="26" t="e">
        <f aca="true" t="shared" si="22" ref="X39:X44">0.19*W39</f>
        <v>#REF!</v>
      </c>
      <c r="Y39" s="26" t="e">
        <f aca="true" t="shared" si="23" ref="Y39:Y44">W39+X39</f>
        <v>#REF!</v>
      </c>
      <c r="Z39" s="26">
        <f aca="true" t="shared" si="24" ref="Z39:Z44">AA39+AB39</f>
        <v>5652.5</v>
      </c>
      <c r="AA39" s="26">
        <f>5000*0.95</f>
        <v>4750</v>
      </c>
      <c r="AB39" s="26">
        <f>0.19*AA39</f>
        <v>902.5</v>
      </c>
      <c r="AC39" s="26">
        <f aca="true" t="shared" si="25" ref="AC39:AC44">AD39+AE39</f>
        <v>297.5</v>
      </c>
      <c r="AD39" s="26">
        <f>5000*0.05</f>
        <v>250</v>
      </c>
      <c r="AE39" s="26">
        <f>0.19*AD39</f>
        <v>47.5</v>
      </c>
      <c r="AF39" s="27">
        <f aca="true" t="shared" si="26" ref="AF39:AF44">AG39+AH39</f>
        <v>41637.62629277567</v>
      </c>
      <c r="AG39" s="71">
        <f>0.95*(((30000)+(30000*1769059.17/5197932))*0.9)</f>
        <v>34379.69629277567</v>
      </c>
      <c r="AH39" s="76">
        <f>ROUNDDOWN(0.95*(((30000)+(30000*1769059.17/5197932))*0.19),2)</f>
        <v>7257.93</v>
      </c>
      <c r="AI39" s="86" t="e">
        <f>(Z39+AF39)/(95/100*#REF!)</f>
        <v>#REF!</v>
      </c>
      <c r="AJ39" s="57">
        <f aca="true" t="shared" si="27" ref="AJ39:AJ44">AK39+AL39</f>
        <v>2191.4543250950574</v>
      </c>
      <c r="AK39" s="71">
        <f>0.05*(((30000)+(30000*1769059.17/5197932))*0.9)</f>
        <v>1809.457699619772</v>
      </c>
      <c r="AL39" s="76">
        <f>0.05*(((30000)+(30000*1769059.17/5197932))*0.19)</f>
        <v>381.99662547528516</v>
      </c>
      <c r="AM39" s="57" t="e">
        <f aca="true" t="shared" si="28" ref="AM39:AM44">AN39+AO39</f>
        <v>#REF!</v>
      </c>
      <c r="AN39" s="71" t="e">
        <f>K39+T39-AA39-AG39</f>
        <v>#REF!</v>
      </c>
      <c r="AO39" s="71" t="e">
        <f>L39+U39-AB39-AH39</f>
        <v>#REF!</v>
      </c>
      <c r="AP39" s="57" t="e">
        <f aca="true" t="shared" si="29" ref="AP39:AP44">AQ39+AR39</f>
        <v>#REF!</v>
      </c>
      <c r="AQ39" s="71" t="e">
        <f>N39+W39-AD39-AK39</f>
        <v>#REF!</v>
      </c>
      <c r="AR39" s="71" t="e">
        <f>O39+X39-AE39-AL39</f>
        <v>#REF!</v>
      </c>
      <c r="AS39" s="58" t="e">
        <f aca="true" t="shared" si="30" ref="AS39:AS44">AM39+AP39</f>
        <v>#REF!</v>
      </c>
      <c r="AT39" s="57">
        <f aca="true" t="shared" si="31" ref="AT39:AT44">C39-J39</f>
        <v>0</v>
      </c>
    </row>
    <row r="40" spans="1:46" ht="22.5">
      <c r="A40" s="38" t="s">
        <v>53</v>
      </c>
      <c r="B40" s="39" t="s">
        <v>51</v>
      </c>
      <c r="C40" s="24">
        <f t="shared" si="11"/>
        <v>5355</v>
      </c>
      <c r="D40" s="48">
        <f>4500*0.95</f>
        <v>4275</v>
      </c>
      <c r="E40" s="25">
        <f>855*0.95</f>
        <v>812.25</v>
      </c>
      <c r="F40" s="24">
        <f t="shared" si="12"/>
        <v>5087.25</v>
      </c>
      <c r="G40" s="48">
        <f>4500*0.05</f>
        <v>225</v>
      </c>
      <c r="H40" s="25">
        <f>855*0.05</f>
        <v>42.75</v>
      </c>
      <c r="I40" s="24">
        <f t="shared" si="13"/>
        <v>267.75</v>
      </c>
      <c r="J40" s="24">
        <f t="shared" si="14"/>
        <v>5355</v>
      </c>
      <c r="K40" s="26">
        <f>4500*0.95</f>
        <v>4275</v>
      </c>
      <c r="L40" s="26">
        <f t="shared" si="15"/>
        <v>812.25</v>
      </c>
      <c r="M40" s="26">
        <f>K40+L40</f>
        <v>5087.25</v>
      </c>
      <c r="N40" s="26">
        <f>4500*0.05</f>
        <v>225</v>
      </c>
      <c r="O40" s="26">
        <f t="shared" si="17"/>
        <v>42.75</v>
      </c>
      <c r="P40" s="26">
        <f t="shared" si="18"/>
        <v>267.75</v>
      </c>
      <c r="Q40" s="26"/>
      <c r="R40" s="26"/>
      <c r="S40" s="24">
        <f t="shared" si="19"/>
        <v>0</v>
      </c>
      <c r="T40" s="26">
        <f>0*0.95</f>
        <v>0</v>
      </c>
      <c r="U40" s="26">
        <f t="shared" si="20"/>
        <v>0</v>
      </c>
      <c r="V40" s="26">
        <f t="shared" si="21"/>
        <v>0</v>
      </c>
      <c r="W40" s="26">
        <f>0*0.05</f>
        <v>0</v>
      </c>
      <c r="X40" s="26">
        <f t="shared" si="22"/>
        <v>0</v>
      </c>
      <c r="Y40" s="26">
        <f t="shared" si="23"/>
        <v>0</v>
      </c>
      <c r="Z40" s="26">
        <f t="shared" si="24"/>
        <v>5087.25</v>
      </c>
      <c r="AA40" s="26">
        <f>4500*0.95</f>
        <v>4275</v>
      </c>
      <c r="AB40" s="26">
        <f>0.19*AA40</f>
        <v>812.25</v>
      </c>
      <c r="AC40" s="26">
        <f t="shared" si="25"/>
        <v>267.75</v>
      </c>
      <c r="AD40" s="26">
        <f>4500*0.05</f>
        <v>225</v>
      </c>
      <c r="AE40" s="26">
        <f>0.19*AD40</f>
        <v>42.75</v>
      </c>
      <c r="AF40" s="27">
        <f t="shared" si="26"/>
        <v>0</v>
      </c>
      <c r="AG40" s="57"/>
      <c r="AH40" s="76"/>
      <c r="AI40" s="86" t="e">
        <f>(Z40+AF40)/(95/100*#REF!)</f>
        <v>#REF!</v>
      </c>
      <c r="AJ40" s="57">
        <f t="shared" si="27"/>
        <v>0</v>
      </c>
      <c r="AK40" s="57"/>
      <c r="AL40" s="76"/>
      <c r="AM40" s="57">
        <f t="shared" si="28"/>
        <v>0</v>
      </c>
      <c r="AN40" s="57">
        <f>K40-AA40-AG40</f>
        <v>0</v>
      </c>
      <c r="AO40" s="57">
        <f>L40-AB40-AH40</f>
        <v>0</v>
      </c>
      <c r="AP40" s="57">
        <f t="shared" si="29"/>
        <v>0</v>
      </c>
      <c r="AQ40" s="57">
        <f>N40-AD40-AK40</f>
        <v>0</v>
      </c>
      <c r="AR40" s="57">
        <f>O40-AE40-AL40</f>
        <v>0</v>
      </c>
      <c r="AS40" s="58">
        <f t="shared" si="30"/>
        <v>0</v>
      </c>
      <c r="AT40" s="57">
        <f t="shared" si="31"/>
        <v>0</v>
      </c>
    </row>
    <row r="41" spans="1:46" ht="15">
      <c r="A41" s="38" t="s">
        <v>52</v>
      </c>
      <c r="B41" s="39" t="s">
        <v>54</v>
      </c>
      <c r="C41" s="24">
        <f t="shared" si="11"/>
        <v>59500</v>
      </c>
      <c r="D41" s="48">
        <f>50000*0.95</f>
        <v>47500</v>
      </c>
      <c r="E41" s="25">
        <f>9500*0.95</f>
        <v>9025</v>
      </c>
      <c r="F41" s="24">
        <f t="shared" si="12"/>
        <v>56525</v>
      </c>
      <c r="G41" s="48">
        <f>50000*0.05</f>
        <v>2500</v>
      </c>
      <c r="H41" s="25">
        <f>9500*0.05</f>
        <v>475</v>
      </c>
      <c r="I41" s="24">
        <f t="shared" si="13"/>
        <v>2975</v>
      </c>
      <c r="J41" s="24">
        <f t="shared" si="14"/>
        <v>59500</v>
      </c>
      <c r="K41" s="26">
        <f>50000*0.95</f>
        <v>47500</v>
      </c>
      <c r="L41" s="26">
        <f t="shared" si="15"/>
        <v>9025</v>
      </c>
      <c r="M41" s="26">
        <f t="shared" si="16"/>
        <v>56525</v>
      </c>
      <c r="N41" s="26">
        <f>50000*0.05</f>
        <v>2500</v>
      </c>
      <c r="O41" s="26">
        <f t="shared" si="17"/>
        <v>475</v>
      </c>
      <c r="P41" s="26">
        <f t="shared" si="18"/>
        <v>2975</v>
      </c>
      <c r="Q41" s="26"/>
      <c r="R41" s="26"/>
      <c r="S41" s="24" t="e">
        <f t="shared" si="19"/>
        <v>#REF!</v>
      </c>
      <c r="T41" s="26" t="e">
        <f>#REF!/1.19*0.95</f>
        <v>#REF!</v>
      </c>
      <c r="U41" s="26" t="e">
        <f t="shared" si="20"/>
        <v>#REF!</v>
      </c>
      <c r="V41" s="26" t="e">
        <f t="shared" si="21"/>
        <v>#REF!</v>
      </c>
      <c r="W41" s="26" t="e">
        <f>#REF!/1.19*0.05</f>
        <v>#REF!</v>
      </c>
      <c r="X41" s="26" t="e">
        <f t="shared" si="22"/>
        <v>#REF!</v>
      </c>
      <c r="Y41" s="26" t="e">
        <f t="shared" si="23"/>
        <v>#REF!</v>
      </c>
      <c r="Z41" s="26">
        <f t="shared" si="24"/>
        <v>0</v>
      </c>
      <c r="AA41" s="26"/>
      <c r="AB41" s="26"/>
      <c r="AC41" s="26">
        <f t="shared" si="25"/>
        <v>0</v>
      </c>
      <c r="AD41" s="26"/>
      <c r="AE41" s="26"/>
      <c r="AF41" s="27">
        <f t="shared" si="26"/>
        <v>69396.05362801015</v>
      </c>
      <c r="AG41" s="71">
        <f>0.95*(((50000)+(50000*1769059.17/5197932))*0.9)</f>
        <v>57299.49382129278</v>
      </c>
      <c r="AH41" s="76">
        <f>0.95*(((50000)+(50000*1769059.17/5197932))*0.19)</f>
        <v>12096.559806717365</v>
      </c>
      <c r="AI41" s="86" t="e">
        <f>(Z41+AF41)/(95/100*#REF!)</f>
        <v>#REF!</v>
      </c>
      <c r="AJ41" s="57">
        <f t="shared" si="27"/>
        <v>3652.423875158429</v>
      </c>
      <c r="AK41" s="71">
        <f>0.05*(((50000)+(50000*1769059.17/5197932))*0.9)</f>
        <v>3015.76283269962</v>
      </c>
      <c r="AL41" s="76">
        <f>0.05*(((50000)+(50000*1769059.17/5197932))*0.19)</f>
        <v>636.6610424588088</v>
      </c>
      <c r="AM41" s="57" t="e">
        <f t="shared" si="28"/>
        <v>#REF!</v>
      </c>
      <c r="AN41" s="71" t="e">
        <f>K41+T41-AA41-AG41</f>
        <v>#REF!</v>
      </c>
      <c r="AO41" s="71" t="e">
        <f>L41+U41-AB41-AH41</f>
        <v>#REF!</v>
      </c>
      <c r="AP41" s="57" t="e">
        <f t="shared" si="29"/>
        <v>#REF!</v>
      </c>
      <c r="AQ41" s="71" t="e">
        <f>N41+W41-AD41-AK41</f>
        <v>#REF!</v>
      </c>
      <c r="AR41" s="71" t="e">
        <f>O41+X41-AE41-AL41</f>
        <v>#REF!</v>
      </c>
      <c r="AS41" s="58" t="e">
        <f t="shared" si="30"/>
        <v>#REF!</v>
      </c>
      <c r="AT41" s="57">
        <f t="shared" si="31"/>
        <v>0</v>
      </c>
    </row>
    <row r="42" spans="1:46" s="107" customFormat="1" ht="33.75">
      <c r="A42" s="49">
        <v>3.2</v>
      </c>
      <c r="B42" s="50" t="s">
        <v>55</v>
      </c>
      <c r="C42" s="51">
        <f t="shared" si="11"/>
        <v>1785</v>
      </c>
      <c r="D42" s="52">
        <f>1500*0.95</f>
        <v>1425</v>
      </c>
      <c r="E42" s="53">
        <f>285*0.95</f>
        <v>270.75</v>
      </c>
      <c r="F42" s="51">
        <f t="shared" si="12"/>
        <v>1695.75</v>
      </c>
      <c r="G42" s="52">
        <f>1500*0.05</f>
        <v>75</v>
      </c>
      <c r="H42" s="53">
        <f>285*0.05</f>
        <v>14.25</v>
      </c>
      <c r="I42" s="51">
        <f t="shared" si="13"/>
        <v>89.25</v>
      </c>
      <c r="J42" s="51">
        <f t="shared" si="14"/>
        <v>1785</v>
      </c>
      <c r="K42" s="54">
        <f>1500*0.95</f>
        <v>1425</v>
      </c>
      <c r="L42" s="54">
        <f t="shared" si="15"/>
        <v>270.75</v>
      </c>
      <c r="M42" s="54">
        <f>K42+L42</f>
        <v>1695.75</v>
      </c>
      <c r="N42" s="54">
        <f>1500*0.05</f>
        <v>75</v>
      </c>
      <c r="O42" s="54">
        <f t="shared" si="17"/>
        <v>14.25</v>
      </c>
      <c r="P42" s="54">
        <f t="shared" si="18"/>
        <v>89.25</v>
      </c>
      <c r="Q42" s="54"/>
      <c r="R42" s="54"/>
      <c r="S42" s="51">
        <f t="shared" si="19"/>
        <v>0</v>
      </c>
      <c r="T42" s="54">
        <f>0*0.95</f>
        <v>0</v>
      </c>
      <c r="U42" s="54">
        <f t="shared" si="20"/>
        <v>0</v>
      </c>
      <c r="V42" s="54">
        <f t="shared" si="21"/>
        <v>0</v>
      </c>
      <c r="W42" s="54">
        <f>0*0.05</f>
        <v>0</v>
      </c>
      <c r="X42" s="54">
        <f t="shared" si="22"/>
        <v>0</v>
      </c>
      <c r="Y42" s="54">
        <f t="shared" si="23"/>
        <v>0</v>
      </c>
      <c r="Z42" s="54">
        <f t="shared" si="24"/>
        <v>0</v>
      </c>
      <c r="AA42" s="54"/>
      <c r="AB42" s="54"/>
      <c r="AC42" s="54">
        <f t="shared" si="25"/>
        <v>0</v>
      </c>
      <c r="AD42" s="54"/>
      <c r="AE42" s="54"/>
      <c r="AF42" s="55">
        <f t="shared" si="26"/>
        <v>0</v>
      </c>
      <c r="AG42" s="108"/>
      <c r="AH42" s="108"/>
      <c r="AI42" s="86" t="e">
        <f>(Z42+AF42)/(95/100*#REF!)</f>
        <v>#REF!</v>
      </c>
      <c r="AJ42" s="108">
        <f t="shared" si="27"/>
        <v>0</v>
      </c>
      <c r="AK42" s="108"/>
      <c r="AL42" s="108"/>
      <c r="AM42" s="108">
        <f t="shared" si="28"/>
        <v>1695.75</v>
      </c>
      <c r="AN42" s="108">
        <f>K42-AA42-AG42</f>
        <v>1425</v>
      </c>
      <c r="AO42" s="108">
        <f>L42-AB42-AH42</f>
        <v>270.75</v>
      </c>
      <c r="AP42" s="108">
        <f t="shared" si="29"/>
        <v>89.25</v>
      </c>
      <c r="AQ42" s="108">
        <f>N42-AD42-AK42</f>
        <v>75</v>
      </c>
      <c r="AR42" s="108">
        <f>O42-AE42-AL42</f>
        <v>14.25</v>
      </c>
      <c r="AS42" s="109">
        <f t="shared" si="30"/>
        <v>1785</v>
      </c>
      <c r="AT42" s="57">
        <f t="shared" si="31"/>
        <v>0</v>
      </c>
    </row>
    <row r="43" spans="1:46" s="107" customFormat="1" ht="15">
      <c r="A43" s="56" t="s">
        <v>56</v>
      </c>
      <c r="B43" s="50" t="s">
        <v>57</v>
      </c>
      <c r="C43" s="51">
        <f t="shared" si="11"/>
        <v>162435</v>
      </c>
      <c r="D43" s="52">
        <f>136500*0.95</f>
        <v>129675</v>
      </c>
      <c r="E43" s="53">
        <f>25935*0.95</f>
        <v>24638.25</v>
      </c>
      <c r="F43" s="51">
        <f t="shared" si="12"/>
        <v>154313.25</v>
      </c>
      <c r="G43" s="52">
        <f>136500*0.05</f>
        <v>6825</v>
      </c>
      <c r="H43" s="53">
        <f>25935*0.05</f>
        <v>1296.75</v>
      </c>
      <c r="I43" s="51">
        <f t="shared" si="13"/>
        <v>8121.75</v>
      </c>
      <c r="J43" s="51">
        <f t="shared" si="14"/>
        <v>162435</v>
      </c>
      <c r="K43" s="54">
        <f>136500*0.95</f>
        <v>129675</v>
      </c>
      <c r="L43" s="54">
        <f t="shared" si="15"/>
        <v>24638.25</v>
      </c>
      <c r="M43" s="54">
        <f t="shared" si="16"/>
        <v>154313.25</v>
      </c>
      <c r="N43" s="54">
        <f>136500*0.05</f>
        <v>6825</v>
      </c>
      <c r="O43" s="54">
        <f t="shared" si="17"/>
        <v>1296.75</v>
      </c>
      <c r="P43" s="54">
        <f t="shared" si="18"/>
        <v>8121.75</v>
      </c>
      <c r="Q43" s="54"/>
      <c r="R43" s="54"/>
      <c r="S43" s="51" t="e">
        <f t="shared" si="19"/>
        <v>#REF!</v>
      </c>
      <c r="T43" s="54" t="e">
        <f>#REF!/1.19*0.95</f>
        <v>#REF!</v>
      </c>
      <c r="U43" s="54" t="e">
        <f t="shared" si="20"/>
        <v>#REF!</v>
      </c>
      <c r="V43" s="54" t="e">
        <f t="shared" si="21"/>
        <v>#REF!</v>
      </c>
      <c r="W43" s="54" t="e">
        <f>#REF!/1.19*0.05</f>
        <v>#REF!</v>
      </c>
      <c r="X43" s="54" t="e">
        <f t="shared" si="22"/>
        <v>#REF!</v>
      </c>
      <c r="Y43" s="54" t="e">
        <f t="shared" si="23"/>
        <v>#REF!</v>
      </c>
      <c r="Z43" s="54">
        <f t="shared" si="24"/>
        <v>41263.25</v>
      </c>
      <c r="AA43" s="54">
        <f>36500*0.95</f>
        <v>34675</v>
      </c>
      <c r="AB43" s="54">
        <f>0.19*AA43</f>
        <v>6588.25</v>
      </c>
      <c r="AC43" s="54">
        <f t="shared" si="25"/>
        <v>2171.75</v>
      </c>
      <c r="AD43" s="54">
        <f>36500*0.05</f>
        <v>1825</v>
      </c>
      <c r="AE43" s="54">
        <f>0.19*AD43</f>
        <v>346.75</v>
      </c>
      <c r="AF43" s="55">
        <f t="shared" si="26"/>
        <v>138792.1072560203</v>
      </c>
      <c r="AG43" s="110">
        <f>0.95*(((100000)+(100000*1769059.17/5197932))*0.9)</f>
        <v>114598.98764258556</v>
      </c>
      <c r="AH43" s="111">
        <f>0.95*(((100000)+(100000*1769059.17/5197932))*0.19)</f>
        <v>24193.11961343473</v>
      </c>
      <c r="AI43" s="86" t="e">
        <f>(Z43+AF43)/(95/100*#REF!)</f>
        <v>#REF!</v>
      </c>
      <c r="AJ43" s="108">
        <f t="shared" si="27"/>
        <v>7304.847750316858</v>
      </c>
      <c r="AK43" s="110">
        <f>0.05*(((100000)+(100000*1769059.17/5197932))*0.9)</f>
        <v>6031.52566539924</v>
      </c>
      <c r="AL43" s="111">
        <f>0.05*(((100000)+(100000*1769059.17/5197932))*0.19)</f>
        <v>1273.3220849176175</v>
      </c>
      <c r="AM43" s="108" t="e">
        <f t="shared" si="28"/>
        <v>#REF!</v>
      </c>
      <c r="AN43" s="71" t="e">
        <f>K43+T43-AA43-AG43</f>
        <v>#REF!</v>
      </c>
      <c r="AO43" s="71" t="e">
        <f>L43+U43-AB43-AH43</f>
        <v>#REF!</v>
      </c>
      <c r="AP43" s="108" t="e">
        <f t="shared" si="29"/>
        <v>#REF!</v>
      </c>
      <c r="AQ43" s="71" t="e">
        <f>N43+W43-AD43-AK43</f>
        <v>#REF!</v>
      </c>
      <c r="AR43" s="71" t="e">
        <f>O43+X43-AE43-AL43</f>
        <v>#REF!</v>
      </c>
      <c r="AS43" s="109" t="e">
        <f t="shared" si="30"/>
        <v>#REF!</v>
      </c>
      <c r="AT43" s="57">
        <f t="shared" si="31"/>
        <v>0</v>
      </c>
    </row>
    <row r="44" spans="1:46" s="107" customFormat="1" ht="22.5">
      <c r="A44" s="49" t="s">
        <v>58</v>
      </c>
      <c r="B44" s="50" t="s">
        <v>59</v>
      </c>
      <c r="C44" s="51">
        <f t="shared" si="11"/>
        <v>98770</v>
      </c>
      <c r="D44" s="52">
        <f>83000*0.95</f>
        <v>78850</v>
      </c>
      <c r="E44" s="53">
        <f>15770*0.95</f>
        <v>14981.5</v>
      </c>
      <c r="F44" s="51">
        <f t="shared" si="12"/>
        <v>93831.5</v>
      </c>
      <c r="G44" s="52">
        <f>83000*0.05</f>
        <v>4150</v>
      </c>
      <c r="H44" s="53">
        <f>15770*0.05</f>
        <v>788.5</v>
      </c>
      <c r="I44" s="51">
        <f t="shared" si="13"/>
        <v>4938.5</v>
      </c>
      <c r="J44" s="51">
        <f t="shared" si="14"/>
        <v>98770</v>
      </c>
      <c r="K44" s="54">
        <f>83000*0.95</f>
        <v>78850</v>
      </c>
      <c r="L44" s="54">
        <f t="shared" si="15"/>
        <v>14981.5</v>
      </c>
      <c r="M44" s="54">
        <f t="shared" si="16"/>
        <v>93831.5</v>
      </c>
      <c r="N44" s="54">
        <f>83000*0.05</f>
        <v>4150</v>
      </c>
      <c r="O44" s="54">
        <f t="shared" si="17"/>
        <v>788.5</v>
      </c>
      <c r="P44" s="54">
        <f t="shared" si="18"/>
        <v>4938.5</v>
      </c>
      <c r="Q44" s="54"/>
      <c r="R44" s="54"/>
      <c r="S44" s="51">
        <f t="shared" si="19"/>
        <v>0</v>
      </c>
      <c r="T44" s="54">
        <f>0*0.95</f>
        <v>0</v>
      </c>
      <c r="U44" s="54">
        <f t="shared" si="20"/>
        <v>0</v>
      </c>
      <c r="V44" s="54">
        <f t="shared" si="21"/>
        <v>0</v>
      </c>
      <c r="W44" s="54">
        <f>0*0.05</f>
        <v>0</v>
      </c>
      <c r="X44" s="54">
        <f t="shared" si="22"/>
        <v>0</v>
      </c>
      <c r="Y44" s="54">
        <f t="shared" si="23"/>
        <v>0</v>
      </c>
      <c r="Z44" s="54">
        <f t="shared" si="24"/>
        <v>21479.5</v>
      </c>
      <c r="AA44" s="54">
        <f>19000*0.95</f>
        <v>18050</v>
      </c>
      <c r="AB44" s="54">
        <f>0.19*AA44</f>
        <v>3429.5</v>
      </c>
      <c r="AC44" s="54">
        <f t="shared" si="25"/>
        <v>1130.5</v>
      </c>
      <c r="AD44" s="54">
        <f>19000*0.05</f>
        <v>950</v>
      </c>
      <c r="AE44" s="54">
        <f>0.19*AD44</f>
        <v>180.5</v>
      </c>
      <c r="AF44" s="55">
        <f t="shared" si="26"/>
        <v>0</v>
      </c>
      <c r="AG44" s="108"/>
      <c r="AH44" s="108"/>
      <c r="AI44" s="86" t="e">
        <f>(Z44+AF44)/(95/100*#REF!)</f>
        <v>#REF!</v>
      </c>
      <c r="AJ44" s="108">
        <f t="shared" si="27"/>
        <v>0</v>
      </c>
      <c r="AK44" s="108"/>
      <c r="AL44" s="108"/>
      <c r="AM44" s="108">
        <f t="shared" si="28"/>
        <v>72352</v>
      </c>
      <c r="AN44" s="108">
        <f>K44+T44-AA44-AG44</f>
        <v>60800</v>
      </c>
      <c r="AO44" s="108">
        <f>L44+U44-AB44-AH44</f>
        <v>11552</v>
      </c>
      <c r="AP44" s="108">
        <f t="shared" si="29"/>
        <v>3808</v>
      </c>
      <c r="AQ44" s="108">
        <f>N44+W44-AD44-AK44</f>
        <v>3200</v>
      </c>
      <c r="AR44" s="108">
        <f>O44+X44-AE44-AL44</f>
        <v>608</v>
      </c>
      <c r="AS44" s="109">
        <f t="shared" si="30"/>
        <v>76160</v>
      </c>
      <c r="AT44" s="57">
        <f t="shared" si="31"/>
        <v>0</v>
      </c>
    </row>
    <row r="45" spans="1:46" s="107" customFormat="1" ht="15">
      <c r="A45" s="49" t="s">
        <v>60</v>
      </c>
      <c r="B45" s="50" t="s">
        <v>61</v>
      </c>
      <c r="C45" s="51">
        <f>SUM(C46:C51)</f>
        <v>7136575.54</v>
      </c>
      <c r="D45" s="51">
        <f aca="true" t="shared" si="32" ref="D45:I45">SUM(D46:D51)</f>
        <v>5697266.185</v>
      </c>
      <c r="E45" s="51">
        <f t="shared" si="32"/>
        <v>1082480.578</v>
      </c>
      <c r="F45" s="51">
        <f t="shared" si="32"/>
        <v>6779746.763</v>
      </c>
      <c r="G45" s="51">
        <f t="shared" si="32"/>
        <v>299856.115</v>
      </c>
      <c r="H45" s="51">
        <f t="shared" si="32"/>
        <v>56972.662000000004</v>
      </c>
      <c r="I45" s="51">
        <f t="shared" si="32"/>
        <v>356828.777</v>
      </c>
      <c r="J45" s="51">
        <f aca="true" t="shared" si="33" ref="J45:AB45">SUM(J46:J51)</f>
        <v>7943800.969999999</v>
      </c>
      <c r="K45" s="54">
        <f t="shared" si="33"/>
        <v>6341689.85</v>
      </c>
      <c r="L45" s="54">
        <f t="shared" si="33"/>
        <v>1204921.0714999998</v>
      </c>
      <c r="M45" s="54">
        <f t="shared" si="33"/>
        <v>7546610.921499999</v>
      </c>
      <c r="N45" s="54">
        <f t="shared" si="33"/>
        <v>333773.15</v>
      </c>
      <c r="O45" s="54">
        <f t="shared" si="33"/>
        <v>63416.898499999996</v>
      </c>
      <c r="P45" s="54">
        <f t="shared" si="33"/>
        <v>397190.0485</v>
      </c>
      <c r="Q45" s="54"/>
      <c r="R45" s="54"/>
      <c r="S45" s="51" t="e">
        <f aca="true" t="shared" si="34" ref="S45:Y45">SUM(S46:S51)</f>
        <v>#REF!</v>
      </c>
      <c r="T45" s="54" t="e">
        <f t="shared" si="34"/>
        <v>#REF!</v>
      </c>
      <c r="U45" s="54" t="e">
        <f t="shared" si="34"/>
        <v>#REF!</v>
      </c>
      <c r="V45" s="54" t="e">
        <f t="shared" si="34"/>
        <v>#REF!</v>
      </c>
      <c r="W45" s="54" t="e">
        <f t="shared" si="34"/>
        <v>#REF!</v>
      </c>
      <c r="X45" s="54" t="e">
        <f t="shared" si="34"/>
        <v>#REF!</v>
      </c>
      <c r="Y45" s="54" t="e">
        <f t="shared" si="34"/>
        <v>#REF!</v>
      </c>
      <c r="Z45" s="54">
        <f t="shared" si="33"/>
        <v>325532.2345</v>
      </c>
      <c r="AA45" s="54">
        <f t="shared" si="33"/>
        <v>275998.56</v>
      </c>
      <c r="AB45" s="54">
        <f t="shared" si="33"/>
        <v>49533.674499999994</v>
      </c>
      <c r="AC45" s="54">
        <f aca="true" t="shared" si="35" ref="AC45:AH45">SUM(AC46:AC51)</f>
        <v>17133.2755</v>
      </c>
      <c r="AD45" s="54">
        <f t="shared" si="35"/>
        <v>14526.24</v>
      </c>
      <c r="AE45" s="54">
        <f t="shared" si="35"/>
        <v>2607.0355</v>
      </c>
      <c r="AF45" s="55">
        <f t="shared" si="35"/>
        <v>6964493.563474163</v>
      </c>
      <c r="AG45" s="55">
        <f>SUM(AG46:AG51)</f>
        <v>5750499.2725933455</v>
      </c>
      <c r="AH45" s="55">
        <f t="shared" si="35"/>
        <v>1213994.2908808172</v>
      </c>
      <c r="AI45" s="86" t="e">
        <f>(Z45+AF45)/(95/100*#REF!)</f>
        <v>#REF!</v>
      </c>
      <c r="AJ45" s="108">
        <f>AL45+AK45</f>
        <v>366552.2928144296</v>
      </c>
      <c r="AK45" s="108">
        <f>SUM(AK46:AK51)</f>
        <v>302657.85645228135</v>
      </c>
      <c r="AL45" s="108">
        <f>SUM(AL46:AL51)</f>
        <v>63894.436362148284</v>
      </c>
      <c r="AM45" s="108" t="e">
        <f>SUM(AM46:AM51)</f>
        <v>#REF!</v>
      </c>
      <c r="AN45" s="108" t="e">
        <f aca="true" t="shared" si="36" ref="AN45:AT45">SUM(AN46:AN51)</f>
        <v>#REF!</v>
      </c>
      <c r="AO45" s="108" t="e">
        <f t="shared" si="36"/>
        <v>#REF!</v>
      </c>
      <c r="AP45" s="108" t="e">
        <f t="shared" si="36"/>
        <v>#REF!</v>
      </c>
      <c r="AQ45" s="108" t="e">
        <f t="shared" si="36"/>
        <v>#REF!</v>
      </c>
      <c r="AR45" s="108" t="e">
        <f t="shared" si="36"/>
        <v>#REF!</v>
      </c>
      <c r="AS45" s="108" t="e">
        <f t="shared" si="36"/>
        <v>#REF!</v>
      </c>
      <c r="AT45" s="108">
        <f t="shared" si="36"/>
        <v>-807225.4299999995</v>
      </c>
    </row>
    <row r="46" spans="1:46" ht="15">
      <c r="A46" s="38" t="s">
        <v>62</v>
      </c>
      <c r="B46" s="39" t="s">
        <v>63</v>
      </c>
      <c r="C46" s="24">
        <f aca="true" t="shared" si="37" ref="C46:C55">F46+I46</f>
        <v>0</v>
      </c>
      <c r="D46" s="48">
        <f>0*0.95</f>
        <v>0</v>
      </c>
      <c r="E46" s="25">
        <f>0*0.95</f>
        <v>0</v>
      </c>
      <c r="F46" s="24">
        <f aca="true" t="shared" si="38" ref="F46:F55">D46+E46</f>
        <v>0</v>
      </c>
      <c r="G46" s="48">
        <f>0*0.05</f>
        <v>0</v>
      </c>
      <c r="H46" s="25">
        <f>0*0.05</f>
        <v>0</v>
      </c>
      <c r="I46" s="24">
        <f aca="true" t="shared" si="39" ref="I46:I55">G46+H46</f>
        <v>0</v>
      </c>
      <c r="J46" s="24">
        <f aca="true" t="shared" si="40" ref="J46:J55">M46+P46</f>
        <v>0</v>
      </c>
      <c r="K46" s="26">
        <v>0</v>
      </c>
      <c r="L46" s="26">
        <f>0.19*K46</f>
        <v>0</v>
      </c>
      <c r="M46" s="26">
        <f aca="true" t="shared" si="41" ref="M46:M55">K46+L46</f>
        <v>0</v>
      </c>
      <c r="N46" s="26">
        <v>0</v>
      </c>
      <c r="O46" s="26">
        <f>0.19*N46</f>
        <v>0</v>
      </c>
      <c r="P46" s="26">
        <f aca="true" t="shared" si="42" ref="P46:P55">N46+O46</f>
        <v>0</v>
      </c>
      <c r="Q46" s="26"/>
      <c r="R46" s="26"/>
      <c r="S46" s="24">
        <f aca="true" t="shared" si="43" ref="S46:S51">V46+Y46</f>
        <v>0</v>
      </c>
      <c r="T46" s="26">
        <v>0</v>
      </c>
      <c r="U46" s="26">
        <f>0.19*T46</f>
        <v>0</v>
      </c>
      <c r="V46" s="26">
        <f aca="true" t="shared" si="44" ref="V46:V52">T46+U46</f>
        <v>0</v>
      </c>
      <c r="W46" s="26">
        <v>0</v>
      </c>
      <c r="X46" s="26">
        <f>0.19*W46</f>
        <v>0</v>
      </c>
      <c r="Y46" s="26">
        <f aca="true" t="shared" si="45" ref="Y46:Y52">W46+X46</f>
        <v>0</v>
      </c>
      <c r="Z46" s="26">
        <f aca="true" t="shared" si="46" ref="Z46:Z55">AA46+AB46</f>
        <v>0</v>
      </c>
      <c r="AA46" s="26"/>
      <c r="AB46" s="26"/>
      <c r="AC46" s="26">
        <f aca="true" t="shared" si="47" ref="AC46:AC55">AD46+AE46</f>
        <v>0</v>
      </c>
      <c r="AD46" s="26"/>
      <c r="AE46" s="26"/>
      <c r="AF46" s="27">
        <f aca="true" t="shared" si="48" ref="AF46:AF55">AG46+AH46</f>
        <v>0</v>
      </c>
      <c r="AG46" s="57"/>
      <c r="AH46" s="57"/>
      <c r="AI46" s="86" t="e">
        <f>(Z46+AF46)/(95/100*#REF!)</f>
        <v>#REF!</v>
      </c>
      <c r="AJ46" s="57">
        <f aca="true" t="shared" si="49" ref="AJ46:AJ55">AK46+AL46</f>
        <v>0</v>
      </c>
      <c r="AK46" s="57"/>
      <c r="AL46" s="57"/>
      <c r="AM46" s="57">
        <f aca="true" t="shared" si="50" ref="AM46:AM55">AN46+AO46</f>
        <v>0</v>
      </c>
      <c r="AN46" s="57">
        <f aca="true" t="shared" si="51" ref="AN46:AO48">K46-AA46-AG46</f>
        <v>0</v>
      </c>
      <c r="AO46" s="57">
        <f t="shared" si="51"/>
        <v>0</v>
      </c>
      <c r="AP46" s="57">
        <f aca="true" t="shared" si="52" ref="AP46:AP55">AQ46+AR46</f>
        <v>0</v>
      </c>
      <c r="AQ46" s="57">
        <f aca="true" t="shared" si="53" ref="AQ46:AR48">N46-AD46-AK46</f>
        <v>0</v>
      </c>
      <c r="AR46" s="57">
        <f t="shared" si="53"/>
        <v>0</v>
      </c>
      <c r="AS46" s="58">
        <f aca="true" t="shared" si="54" ref="AS46:AS55">AM46+AP46</f>
        <v>0</v>
      </c>
      <c r="AT46" s="57">
        <f aca="true" t="shared" si="55" ref="AT46:AT51">C46-J46</f>
        <v>0</v>
      </c>
    </row>
    <row r="47" spans="1:46" ht="15">
      <c r="A47" s="38" t="s">
        <v>64</v>
      </c>
      <c r="B47" s="39" t="s">
        <v>65</v>
      </c>
      <c r="C47" s="24">
        <f>F47+I47</f>
        <v>0</v>
      </c>
      <c r="D47" s="48">
        <f>0*0.95</f>
        <v>0</v>
      </c>
      <c r="E47" s="25">
        <f>0*0.95</f>
        <v>0</v>
      </c>
      <c r="F47" s="24">
        <f>D47+E47</f>
        <v>0</v>
      </c>
      <c r="G47" s="48">
        <f>0*0.05</f>
        <v>0</v>
      </c>
      <c r="H47" s="25">
        <f>0*0.05</f>
        <v>0</v>
      </c>
      <c r="I47" s="24">
        <f t="shared" si="39"/>
        <v>0</v>
      </c>
      <c r="J47" s="24">
        <f t="shared" si="40"/>
        <v>0</v>
      </c>
      <c r="K47" s="26">
        <v>0</v>
      </c>
      <c r="L47" s="26">
        <f>0.19*K47</f>
        <v>0</v>
      </c>
      <c r="M47" s="26">
        <f t="shared" si="41"/>
        <v>0</v>
      </c>
      <c r="N47" s="26">
        <v>0</v>
      </c>
      <c r="O47" s="26">
        <f>0.19*N47</f>
        <v>0</v>
      </c>
      <c r="P47" s="26">
        <f t="shared" si="42"/>
        <v>0</v>
      </c>
      <c r="Q47" s="26"/>
      <c r="R47" s="26"/>
      <c r="S47" s="24">
        <f t="shared" si="43"/>
        <v>0</v>
      </c>
      <c r="T47" s="26">
        <v>0</v>
      </c>
      <c r="U47" s="26">
        <f>0.19*T47</f>
        <v>0</v>
      </c>
      <c r="V47" s="26">
        <f t="shared" si="44"/>
        <v>0</v>
      </c>
      <c r="W47" s="26">
        <v>0</v>
      </c>
      <c r="X47" s="26">
        <f>0.19*W47</f>
        <v>0</v>
      </c>
      <c r="Y47" s="26">
        <f t="shared" si="45"/>
        <v>0</v>
      </c>
      <c r="Z47" s="26">
        <f t="shared" si="46"/>
        <v>0</v>
      </c>
      <c r="AA47" s="26"/>
      <c r="AB47" s="26"/>
      <c r="AC47" s="26">
        <f t="shared" si="47"/>
        <v>0</v>
      </c>
      <c r="AD47" s="26"/>
      <c r="AE47" s="26"/>
      <c r="AF47" s="27">
        <f t="shared" si="48"/>
        <v>0</v>
      </c>
      <c r="AG47" s="57"/>
      <c r="AH47" s="57"/>
      <c r="AI47" s="86" t="e">
        <f>(Z47+AF47)/(95/100*#REF!)</f>
        <v>#REF!</v>
      </c>
      <c r="AJ47" s="57">
        <f t="shared" si="49"/>
        <v>0</v>
      </c>
      <c r="AK47" s="57"/>
      <c r="AL47" s="57"/>
      <c r="AM47" s="57">
        <f t="shared" si="50"/>
        <v>0</v>
      </c>
      <c r="AN47" s="57">
        <f t="shared" si="51"/>
        <v>0</v>
      </c>
      <c r="AO47" s="57">
        <f t="shared" si="51"/>
        <v>0</v>
      </c>
      <c r="AP47" s="57">
        <f t="shared" si="52"/>
        <v>0</v>
      </c>
      <c r="AQ47" s="57">
        <f t="shared" si="53"/>
        <v>0</v>
      </c>
      <c r="AR47" s="57">
        <f t="shared" si="53"/>
        <v>0</v>
      </c>
      <c r="AS47" s="58">
        <f t="shared" si="54"/>
        <v>0</v>
      </c>
      <c r="AT47" s="57">
        <f t="shared" si="55"/>
        <v>0</v>
      </c>
    </row>
    <row r="48" spans="1:46" ht="33.75">
      <c r="A48" s="38" t="s">
        <v>66</v>
      </c>
      <c r="B48" s="39" t="s">
        <v>67</v>
      </c>
      <c r="C48" s="24">
        <f t="shared" si="37"/>
        <v>442680</v>
      </c>
      <c r="D48" s="48">
        <f>372000*0.95</f>
        <v>353400</v>
      </c>
      <c r="E48" s="25">
        <f>70680*0.95</f>
        <v>67146</v>
      </c>
      <c r="F48" s="24">
        <f t="shared" si="38"/>
        <v>420546</v>
      </c>
      <c r="G48" s="48">
        <f>372000*0.05</f>
        <v>18600</v>
      </c>
      <c r="H48" s="25">
        <f>70680*0.05</f>
        <v>3534</v>
      </c>
      <c r="I48" s="24">
        <f t="shared" si="39"/>
        <v>22134</v>
      </c>
      <c r="J48" s="24">
        <f t="shared" si="40"/>
        <v>442680</v>
      </c>
      <c r="K48" s="26">
        <f>372000*0.95</f>
        <v>353400</v>
      </c>
      <c r="L48" s="26">
        <f>0.19*K48</f>
        <v>67146</v>
      </c>
      <c r="M48" s="26">
        <f t="shared" si="41"/>
        <v>420546</v>
      </c>
      <c r="N48" s="26">
        <f>372000*0.05</f>
        <v>18600</v>
      </c>
      <c r="O48" s="26">
        <f>0.19*N48</f>
        <v>3534</v>
      </c>
      <c r="P48" s="26">
        <f t="shared" si="42"/>
        <v>22134</v>
      </c>
      <c r="Q48" s="26"/>
      <c r="R48" s="26"/>
      <c r="S48" s="24">
        <f t="shared" si="43"/>
        <v>0</v>
      </c>
      <c r="T48" s="26">
        <f>0*0.95</f>
        <v>0</v>
      </c>
      <c r="U48" s="26">
        <f>0.19*T48</f>
        <v>0</v>
      </c>
      <c r="V48" s="26">
        <f t="shared" si="44"/>
        <v>0</v>
      </c>
      <c r="W48" s="26">
        <f>0*0.05</f>
        <v>0</v>
      </c>
      <c r="X48" s="26">
        <f>0.19*W48</f>
        <v>0</v>
      </c>
      <c r="Y48" s="26">
        <f t="shared" si="45"/>
        <v>0</v>
      </c>
      <c r="Z48" s="26">
        <f t="shared" si="46"/>
        <v>160531</v>
      </c>
      <c r="AA48" s="26">
        <f>142000*0.95</f>
        <v>134900</v>
      </c>
      <c r="AB48" s="26">
        <f>0.19*AA48</f>
        <v>25631</v>
      </c>
      <c r="AC48" s="26">
        <f t="shared" si="47"/>
        <v>8449</v>
      </c>
      <c r="AD48" s="26">
        <f>142000*0.05</f>
        <v>7100</v>
      </c>
      <c r="AE48" s="26">
        <f>0.19*AD48</f>
        <v>1349</v>
      </c>
      <c r="AF48" s="27">
        <f t="shared" si="48"/>
        <v>0</v>
      </c>
      <c r="AG48" s="57"/>
      <c r="AH48" s="57"/>
      <c r="AI48" s="86" t="e">
        <f>(Z48+AF48)/(95/100*#REF!)</f>
        <v>#REF!</v>
      </c>
      <c r="AJ48" s="57">
        <f t="shared" si="49"/>
        <v>0</v>
      </c>
      <c r="AK48" s="57"/>
      <c r="AL48" s="57"/>
      <c r="AM48" s="57">
        <f t="shared" si="50"/>
        <v>260015</v>
      </c>
      <c r="AN48" s="57">
        <f t="shared" si="51"/>
        <v>218500</v>
      </c>
      <c r="AO48" s="57">
        <f t="shared" si="51"/>
        <v>41515</v>
      </c>
      <c r="AP48" s="57">
        <f t="shared" si="52"/>
        <v>13685</v>
      </c>
      <c r="AQ48" s="57">
        <f t="shared" si="53"/>
        <v>11500</v>
      </c>
      <c r="AR48" s="57">
        <f t="shared" si="53"/>
        <v>2185</v>
      </c>
      <c r="AS48" s="58">
        <f t="shared" si="54"/>
        <v>273700</v>
      </c>
      <c r="AT48" s="57">
        <f t="shared" si="55"/>
        <v>0</v>
      </c>
    </row>
    <row r="49" spans="1:46" ht="33.75">
      <c r="A49" s="38" t="s">
        <v>68</v>
      </c>
      <c r="B49" s="39" t="s">
        <v>69</v>
      </c>
      <c r="C49" s="24">
        <f>F49+I49</f>
        <v>761446.63</v>
      </c>
      <c r="D49" s="48">
        <f>639871.12*0.95</f>
        <v>607877.564</v>
      </c>
      <c r="E49" s="25">
        <f>121575.51*0.95</f>
        <v>115496.73449999999</v>
      </c>
      <c r="F49" s="24">
        <f t="shared" si="38"/>
        <v>723374.2985</v>
      </c>
      <c r="G49" s="48">
        <f>639871.12*0.05</f>
        <v>31993.556</v>
      </c>
      <c r="H49" s="25">
        <f>121575.51*0.05</f>
        <v>6078.7755</v>
      </c>
      <c r="I49" s="24">
        <f t="shared" si="39"/>
        <v>38072.3315</v>
      </c>
      <c r="J49" s="24">
        <f t="shared" si="40"/>
        <v>761446.6328</v>
      </c>
      <c r="K49" s="26">
        <f>639871.12*0.95</f>
        <v>607877.564</v>
      </c>
      <c r="L49" s="26">
        <f>0.19*K49</f>
        <v>115496.73716</v>
      </c>
      <c r="M49" s="26">
        <f t="shared" si="41"/>
        <v>723374.30116</v>
      </c>
      <c r="N49" s="26">
        <f>639871.12*0.05</f>
        <v>31993.556</v>
      </c>
      <c r="O49" s="26">
        <f>0.19*N49</f>
        <v>6078.77564</v>
      </c>
      <c r="P49" s="26">
        <f t="shared" si="42"/>
        <v>38072.331640000004</v>
      </c>
      <c r="Q49" s="26"/>
      <c r="R49" s="26"/>
      <c r="S49" s="24" t="e">
        <f t="shared" si="43"/>
        <v>#REF!</v>
      </c>
      <c r="T49" s="26" t="e">
        <f>#REF!/1.19*0.95</f>
        <v>#REF!</v>
      </c>
      <c r="U49" s="26" t="e">
        <f>0.19*T49</f>
        <v>#REF!</v>
      </c>
      <c r="V49" s="26" t="e">
        <f t="shared" si="44"/>
        <v>#REF!</v>
      </c>
      <c r="W49" s="26" t="e">
        <f>#REF!/1.19*0.05</f>
        <v>#REF!</v>
      </c>
      <c r="X49" s="26" t="e">
        <f>0.19*W49</f>
        <v>#REF!</v>
      </c>
      <c r="Y49" s="26" t="e">
        <f t="shared" si="45"/>
        <v>#REF!</v>
      </c>
      <c r="Z49" s="26">
        <f t="shared" si="46"/>
        <v>0</v>
      </c>
      <c r="AA49" s="26"/>
      <c r="AB49" s="26"/>
      <c r="AC49" s="26">
        <f t="shared" si="47"/>
        <v>0</v>
      </c>
      <c r="AD49" s="26"/>
      <c r="AE49" s="26"/>
      <c r="AF49" s="27">
        <f t="shared" si="48"/>
        <v>714600.4771006729</v>
      </c>
      <c r="AG49" s="71">
        <f>0.95*(((514871.12)+(514871.12*1769059.17/5197932))*0.9)</f>
        <v>590037.0911840418</v>
      </c>
      <c r="AH49" s="57">
        <f>0.95*(((514871.12)+(514871.12*1769059.17/5197932))*0.19)</f>
        <v>124563.38591663104</v>
      </c>
      <c r="AI49" s="86" t="e">
        <f>(Z49+AF49)/(95/100*#REF!)</f>
        <v>#REF!</v>
      </c>
      <c r="AJ49" s="57">
        <f>AK49+AL49</f>
        <v>37610.5514263512</v>
      </c>
      <c r="AK49" s="71">
        <f>0.05*(((514871.12)+(514871.12*1769059.17/5197932))*0.9)</f>
        <v>31054.583746528515</v>
      </c>
      <c r="AL49" s="57">
        <f>0.05*(((514871.12)+(514871.12*1769059.17/5197932))*0.19)</f>
        <v>6555.9676798226865</v>
      </c>
      <c r="AM49" s="57" t="e">
        <f t="shared" si="50"/>
        <v>#REF!</v>
      </c>
      <c r="AN49" s="71" t="e">
        <f>K49+T49-AA49-AG49</f>
        <v>#REF!</v>
      </c>
      <c r="AO49" s="71" t="e">
        <f>L49+U49-AB49-AH49</f>
        <v>#REF!</v>
      </c>
      <c r="AP49" s="57" t="e">
        <f t="shared" si="52"/>
        <v>#REF!</v>
      </c>
      <c r="AQ49" s="71" t="e">
        <f>N49+W49-AD49-AK49</f>
        <v>#REF!</v>
      </c>
      <c r="AR49" s="71" t="e">
        <f>O49+X49-AE49-AL49</f>
        <v>#REF!</v>
      </c>
      <c r="AS49" s="58" t="e">
        <f t="shared" si="54"/>
        <v>#REF!</v>
      </c>
      <c r="AT49" s="57">
        <f t="shared" si="55"/>
        <v>-0.002800000016577542</v>
      </c>
    </row>
    <row r="50" spans="1:46" s="78" customFormat="1" ht="33.75">
      <c r="A50" s="60" t="s">
        <v>70</v>
      </c>
      <c r="B50" s="61" t="s">
        <v>71</v>
      </c>
      <c r="C50" s="62">
        <f t="shared" si="37"/>
        <v>383698.32</v>
      </c>
      <c r="D50" s="72">
        <f>322435.56*0.95</f>
        <v>306313.782</v>
      </c>
      <c r="E50" s="73">
        <f>61262.76*0.95</f>
        <v>58199.621999999996</v>
      </c>
      <c r="F50" s="62">
        <f t="shared" si="38"/>
        <v>364513.404</v>
      </c>
      <c r="G50" s="72">
        <f>322435.56*0.05</f>
        <v>16121.778</v>
      </c>
      <c r="H50" s="73">
        <f>61262.76*0.05</f>
        <v>3063.1380000000004</v>
      </c>
      <c r="I50" s="62">
        <f t="shared" si="39"/>
        <v>19184.916</v>
      </c>
      <c r="J50" s="62">
        <f t="shared" si="40"/>
        <v>274331.88999999996</v>
      </c>
      <c r="K50" s="74">
        <f>230531*0.95</f>
        <v>219004.44999999998</v>
      </c>
      <c r="L50" s="74">
        <f>K50*0.19</f>
        <v>41610.845499999996</v>
      </c>
      <c r="M50" s="74">
        <f t="shared" si="41"/>
        <v>260615.29549999998</v>
      </c>
      <c r="N50" s="74">
        <f>230531*0.05</f>
        <v>11526.550000000001</v>
      </c>
      <c r="O50" s="74">
        <f>N50*0.19</f>
        <v>2190.0445000000004</v>
      </c>
      <c r="P50" s="74">
        <f t="shared" si="42"/>
        <v>13716.594500000001</v>
      </c>
      <c r="Q50" s="74"/>
      <c r="R50" s="74"/>
      <c r="S50" s="62">
        <f t="shared" si="43"/>
        <v>0</v>
      </c>
      <c r="T50" s="74">
        <f>0*0.95</f>
        <v>0</v>
      </c>
      <c r="U50" s="74">
        <f>T50*0.19</f>
        <v>0</v>
      </c>
      <c r="V50" s="74">
        <f t="shared" si="44"/>
        <v>0</v>
      </c>
      <c r="W50" s="74">
        <f>0*0.05</f>
        <v>0</v>
      </c>
      <c r="X50" s="74">
        <f>W50*0.19</f>
        <v>0</v>
      </c>
      <c r="Y50" s="74">
        <f t="shared" si="45"/>
        <v>0</v>
      </c>
      <c r="Z50" s="74">
        <f t="shared" si="46"/>
        <v>165001.2345</v>
      </c>
      <c r="AA50" s="74">
        <f>(16100*0.95)+(132424.8*0.95)</f>
        <v>141098.56</v>
      </c>
      <c r="AB50" s="74">
        <f>0+(0.95*25160.71)</f>
        <v>23902.674499999997</v>
      </c>
      <c r="AC50" s="74">
        <f t="shared" si="47"/>
        <v>8684.2755</v>
      </c>
      <c r="AD50" s="74">
        <f>(16100*0.05)+(132424.8*0.05)</f>
        <v>7426.24</v>
      </c>
      <c r="AE50" s="74">
        <f>0+(0.05*25160.71)</f>
        <v>1258.0355</v>
      </c>
      <c r="AF50" s="75">
        <f>AG50+AH50</f>
        <v>0</v>
      </c>
      <c r="AG50" s="76"/>
      <c r="AH50" s="76"/>
      <c r="AI50" s="86" t="e">
        <f>(Z50+AF50)/(95/100*#REF!)</f>
        <v>#REF!</v>
      </c>
      <c r="AJ50" s="76">
        <f>AK50+AL50</f>
        <v>0</v>
      </c>
      <c r="AK50" s="76"/>
      <c r="AL50" s="76"/>
      <c r="AM50" s="76">
        <f t="shared" si="50"/>
        <v>95614.06099999999</v>
      </c>
      <c r="AN50" s="76">
        <f>K50-AA50-AG50</f>
        <v>77905.88999999998</v>
      </c>
      <c r="AO50" s="76">
        <f>L50-AB50-AH50</f>
        <v>17708.171</v>
      </c>
      <c r="AP50" s="76">
        <f t="shared" si="52"/>
        <v>5032.319000000001</v>
      </c>
      <c r="AQ50" s="76">
        <f>N50-AD50-AK50</f>
        <v>4100.310000000001</v>
      </c>
      <c r="AR50" s="76">
        <f>O50-AE50-AL50</f>
        <v>932.0090000000005</v>
      </c>
      <c r="AS50" s="77">
        <f t="shared" si="54"/>
        <v>100646.37999999999</v>
      </c>
      <c r="AT50" s="57">
        <f t="shared" si="55"/>
        <v>109366.43000000005</v>
      </c>
    </row>
    <row r="51" spans="1:46" ht="15">
      <c r="A51" s="38" t="s">
        <v>72</v>
      </c>
      <c r="B51" s="39" t="s">
        <v>73</v>
      </c>
      <c r="C51" s="24">
        <f t="shared" si="37"/>
        <v>5548750.59</v>
      </c>
      <c r="D51" s="48">
        <f>4662815.62*0.95</f>
        <v>4429674.839</v>
      </c>
      <c r="E51" s="25">
        <f>885934.97*0.95</f>
        <v>841638.2215</v>
      </c>
      <c r="F51" s="24">
        <f t="shared" si="38"/>
        <v>5271313.0605</v>
      </c>
      <c r="G51" s="48">
        <f>4662815.62*0.05</f>
        <v>233140.78100000002</v>
      </c>
      <c r="H51" s="25">
        <f>885934.97*0.05</f>
        <v>44296.7485</v>
      </c>
      <c r="I51" s="24">
        <f t="shared" si="39"/>
        <v>277437.5295</v>
      </c>
      <c r="J51" s="24">
        <f t="shared" si="40"/>
        <v>6465342.447199999</v>
      </c>
      <c r="K51" s="26">
        <f>5433060.88*0.95</f>
        <v>5161407.835999999</v>
      </c>
      <c r="L51" s="26">
        <f>K51*0.19</f>
        <v>980667.4888399999</v>
      </c>
      <c r="M51" s="26">
        <f t="shared" si="41"/>
        <v>6142075.324839999</v>
      </c>
      <c r="N51" s="26">
        <f>5433060.88*0.05</f>
        <v>271653.044</v>
      </c>
      <c r="O51" s="26">
        <f>N51*0.19</f>
        <v>51614.07836</v>
      </c>
      <c r="P51" s="26">
        <f t="shared" si="42"/>
        <v>323267.12236</v>
      </c>
      <c r="Q51" s="26"/>
      <c r="R51" s="26"/>
      <c r="S51" s="24" t="e">
        <f t="shared" si="43"/>
        <v>#REF!</v>
      </c>
      <c r="T51" s="26" t="e">
        <f>#REF!/1.19*0.95</f>
        <v>#REF!</v>
      </c>
      <c r="U51" s="26" t="e">
        <f>T51*0.19</f>
        <v>#REF!</v>
      </c>
      <c r="V51" s="26" t="e">
        <f t="shared" si="44"/>
        <v>#REF!</v>
      </c>
      <c r="W51" s="26" t="e">
        <f>#REF!/1.19*0.05</f>
        <v>#REF!</v>
      </c>
      <c r="X51" s="26" t="e">
        <f>W51*0.19</f>
        <v>#REF!</v>
      </c>
      <c r="Y51" s="26" t="e">
        <f t="shared" si="45"/>
        <v>#REF!</v>
      </c>
      <c r="Z51" s="26">
        <f t="shared" si="46"/>
        <v>0</v>
      </c>
      <c r="AA51" s="26"/>
      <c r="AB51" s="26"/>
      <c r="AC51" s="26">
        <f t="shared" si="47"/>
        <v>0</v>
      </c>
      <c r="AD51" s="26"/>
      <c r="AE51" s="26"/>
      <c r="AF51" s="27">
        <f t="shared" si="48"/>
        <v>6249893.08637349</v>
      </c>
      <c r="AG51" s="71">
        <f>0.95*(((4503060.88)+(4503060.88*1769059.17/5197932))*0.9)</f>
        <v>5160462.181409304</v>
      </c>
      <c r="AH51" s="57">
        <f>0.95*(((4503060.88)+(4503060.88*1769059.17/5197932))*0.19)</f>
        <v>1089430.9049641863</v>
      </c>
      <c r="AI51" s="86" t="e">
        <f>(Z51+AF51)/(95/100*#REF!)</f>
        <v>#REF!</v>
      </c>
      <c r="AJ51" s="57">
        <f t="shared" si="49"/>
        <v>328941.7413880785</v>
      </c>
      <c r="AK51" s="71">
        <f>0.05*(((4503060.88)+(4503060.88*1769059.17/5197932))*0.9)</f>
        <v>271603.27270575287</v>
      </c>
      <c r="AL51" s="57">
        <f>0.05*(((4503060.88)+(4503060.88*1769059.17/5197932))*0.19)</f>
        <v>57338.4686823256</v>
      </c>
      <c r="AM51" s="57" t="e">
        <f t="shared" si="50"/>
        <v>#REF!</v>
      </c>
      <c r="AN51" s="71" t="e">
        <f>K51+T51-AA51-AG51</f>
        <v>#REF!</v>
      </c>
      <c r="AO51" s="71" t="e">
        <f>L51+U51-AB51-AH51</f>
        <v>#REF!</v>
      </c>
      <c r="AP51" s="57" t="e">
        <f t="shared" si="52"/>
        <v>#REF!</v>
      </c>
      <c r="AQ51" s="71" t="e">
        <f>N51+W51-AD51-AK51</f>
        <v>#REF!</v>
      </c>
      <c r="AR51" s="71" t="e">
        <f>O51+X51-AE51-AL51</f>
        <v>#REF!</v>
      </c>
      <c r="AS51" s="58" t="e">
        <f t="shared" si="54"/>
        <v>#REF!</v>
      </c>
      <c r="AT51" s="57">
        <f t="shared" si="55"/>
        <v>-916591.8571999995</v>
      </c>
    </row>
    <row r="52" spans="1:46" s="107" customFormat="1" ht="15">
      <c r="A52" s="49">
        <v>3.6</v>
      </c>
      <c r="B52" s="50" t="s">
        <v>86</v>
      </c>
      <c r="C52" s="51">
        <f t="shared" si="37"/>
        <v>0</v>
      </c>
      <c r="D52" s="52">
        <f>0*0.95</f>
        <v>0</v>
      </c>
      <c r="E52" s="53">
        <f>0*0.95</f>
        <v>0</v>
      </c>
      <c r="F52" s="51">
        <f t="shared" si="38"/>
        <v>0</v>
      </c>
      <c r="G52" s="52">
        <f>0*0.05</f>
        <v>0</v>
      </c>
      <c r="H52" s="53">
        <f>0*0.05</f>
        <v>0</v>
      </c>
      <c r="I52" s="51">
        <f>G52+H52</f>
        <v>0</v>
      </c>
      <c r="J52" s="51">
        <f>M52+P52</f>
        <v>0</v>
      </c>
      <c r="K52" s="54">
        <v>0</v>
      </c>
      <c r="L52" s="54">
        <f>0.19*K52</f>
        <v>0</v>
      </c>
      <c r="M52" s="54">
        <f t="shared" si="41"/>
        <v>0</v>
      </c>
      <c r="N52" s="54">
        <v>0</v>
      </c>
      <c r="O52" s="54">
        <f>0.19*N52</f>
        <v>0</v>
      </c>
      <c r="P52" s="54">
        <f t="shared" si="42"/>
        <v>0</v>
      </c>
      <c r="Q52" s="54"/>
      <c r="R52" s="54"/>
      <c r="S52" s="51">
        <f>V52+Y52</f>
        <v>0</v>
      </c>
      <c r="T52" s="54">
        <v>0</v>
      </c>
      <c r="U52" s="54">
        <f>0.19*T52</f>
        <v>0</v>
      </c>
      <c r="V52" s="54">
        <f t="shared" si="44"/>
        <v>0</v>
      </c>
      <c r="W52" s="54">
        <v>0</v>
      </c>
      <c r="X52" s="54">
        <f>0.19*W52</f>
        <v>0</v>
      </c>
      <c r="Y52" s="54">
        <f t="shared" si="45"/>
        <v>0</v>
      </c>
      <c r="Z52" s="54">
        <f t="shared" si="46"/>
        <v>0</v>
      </c>
      <c r="AA52" s="54"/>
      <c r="AB52" s="54"/>
      <c r="AC52" s="54">
        <f t="shared" si="47"/>
        <v>0</v>
      </c>
      <c r="AD52" s="54"/>
      <c r="AE52" s="54"/>
      <c r="AF52" s="55">
        <f t="shared" si="48"/>
        <v>0</v>
      </c>
      <c r="AG52" s="108"/>
      <c r="AH52" s="108"/>
      <c r="AI52" s="86" t="e">
        <f>(Z52+AF52)/(95/100*#REF!)</f>
        <v>#REF!</v>
      </c>
      <c r="AJ52" s="108">
        <f t="shared" si="49"/>
        <v>0</v>
      </c>
      <c r="AK52" s="108"/>
      <c r="AL52" s="108"/>
      <c r="AM52" s="108">
        <f t="shared" si="50"/>
        <v>0</v>
      </c>
      <c r="AN52" s="108">
        <f aca="true" t="shared" si="56" ref="AN52:AN61">K52-AA52-AG52</f>
        <v>0</v>
      </c>
      <c r="AO52" s="108">
        <f aca="true" t="shared" si="57" ref="AO52:AO61">L52-AB52-AH52</f>
        <v>0</v>
      </c>
      <c r="AP52" s="108">
        <f t="shared" si="52"/>
        <v>0</v>
      </c>
      <c r="AQ52" s="108">
        <f>N52-AD52-AK52</f>
        <v>0</v>
      </c>
      <c r="AR52" s="108">
        <f>O52-AE52-AL52</f>
        <v>0</v>
      </c>
      <c r="AS52" s="109">
        <f>AM52+AP52</f>
        <v>0</v>
      </c>
      <c r="AT52" s="108">
        <f>AN52+AQ52</f>
        <v>0</v>
      </c>
    </row>
    <row r="53" spans="1:46" s="107" customFormat="1" ht="15">
      <c r="A53" s="49">
        <v>3.7</v>
      </c>
      <c r="B53" s="50" t="s">
        <v>15</v>
      </c>
      <c r="C53" s="51">
        <f aca="true" t="shared" si="58" ref="C53:P53">SUM(C54:C55)</f>
        <v>2512372.11</v>
      </c>
      <c r="D53" s="51">
        <f t="shared" si="58"/>
        <v>2005675.2164999999</v>
      </c>
      <c r="E53" s="51">
        <f t="shared" si="58"/>
        <v>381078.28799999994</v>
      </c>
      <c r="F53" s="51">
        <f t="shared" si="58"/>
        <v>2386753.5045</v>
      </c>
      <c r="G53" s="51">
        <f t="shared" si="58"/>
        <v>105561.85350000001</v>
      </c>
      <c r="H53" s="51">
        <f t="shared" si="58"/>
        <v>20056.752</v>
      </c>
      <c r="I53" s="51">
        <f t="shared" si="58"/>
        <v>125618.6055</v>
      </c>
      <c r="J53" s="51">
        <f t="shared" si="58"/>
        <v>606900</v>
      </c>
      <c r="K53" s="51">
        <f t="shared" si="58"/>
        <v>484500</v>
      </c>
      <c r="L53" s="51">
        <f t="shared" si="58"/>
        <v>92055</v>
      </c>
      <c r="M53" s="51">
        <f t="shared" si="58"/>
        <v>576555</v>
      </c>
      <c r="N53" s="51">
        <f t="shared" si="58"/>
        <v>25500</v>
      </c>
      <c r="O53" s="51">
        <f t="shared" si="58"/>
        <v>4845</v>
      </c>
      <c r="P53" s="51">
        <f t="shared" si="58"/>
        <v>30345</v>
      </c>
      <c r="Q53" s="51"/>
      <c r="R53" s="51"/>
      <c r="S53" s="51">
        <f aca="true" t="shared" si="59" ref="S53:Y53">SUM(S54:S55)</f>
        <v>0</v>
      </c>
      <c r="T53" s="51">
        <f t="shared" si="59"/>
        <v>0</v>
      </c>
      <c r="U53" s="51">
        <f t="shared" si="59"/>
        <v>0</v>
      </c>
      <c r="V53" s="51">
        <f t="shared" si="59"/>
        <v>0</v>
      </c>
      <c r="W53" s="51">
        <f t="shared" si="59"/>
        <v>0</v>
      </c>
      <c r="X53" s="51">
        <f t="shared" si="59"/>
        <v>0</v>
      </c>
      <c r="Y53" s="51">
        <f t="shared" si="59"/>
        <v>0</v>
      </c>
      <c r="Z53" s="51">
        <f>SUM(Z54:Z55)</f>
        <v>0</v>
      </c>
      <c r="AA53" s="51"/>
      <c r="AB53" s="51"/>
      <c r="AC53" s="51">
        <f>SUM(AC54:AC55)</f>
        <v>0</v>
      </c>
      <c r="AD53" s="51"/>
      <c r="AE53" s="51"/>
      <c r="AF53" s="51">
        <f>SUM(AF54:AF55)</f>
        <v>0</v>
      </c>
      <c r="AG53" s="51"/>
      <c r="AH53" s="51"/>
      <c r="AI53" s="86" t="e">
        <f>(Z53+AF53)/(95/100*#REF!)</f>
        <v>#REF!</v>
      </c>
      <c r="AJ53" s="51">
        <f>SUM(AJ54:AJ55)</f>
        <v>0</v>
      </c>
      <c r="AK53" s="51"/>
      <c r="AL53" s="51"/>
      <c r="AM53" s="51">
        <f>SUM(AM54:AM55)</f>
        <v>576555</v>
      </c>
      <c r="AN53" s="51">
        <f t="shared" si="56"/>
        <v>484500</v>
      </c>
      <c r="AO53" s="51">
        <f t="shared" si="57"/>
        <v>92055</v>
      </c>
      <c r="AP53" s="51">
        <f>SUM(AP54:AP55)</f>
        <v>30345</v>
      </c>
      <c r="AQ53" s="51">
        <f>SUM(AQ54:AQ55)</f>
        <v>25500</v>
      </c>
      <c r="AR53" s="51">
        <f>SUM(AR54:AR55)</f>
        <v>4845</v>
      </c>
      <c r="AS53" s="51">
        <f>SUM(AS54:AS55)</f>
        <v>606900</v>
      </c>
      <c r="AT53" s="51">
        <f>SUM(AT54:AT55)</f>
        <v>1398775.2164999999</v>
      </c>
    </row>
    <row r="54" spans="1:46" ht="22.5">
      <c r="A54" s="38" t="s">
        <v>74</v>
      </c>
      <c r="B54" s="39" t="s">
        <v>75</v>
      </c>
      <c r="C54" s="24">
        <f t="shared" si="37"/>
        <v>2399322.11</v>
      </c>
      <c r="D54" s="48">
        <f>2016237.07*0.95</f>
        <v>1915425.2164999999</v>
      </c>
      <c r="E54" s="25">
        <f>383085.04*0.95</f>
        <v>363930.78799999994</v>
      </c>
      <c r="F54" s="24">
        <f t="shared" si="38"/>
        <v>2279356.0045</v>
      </c>
      <c r="G54" s="48">
        <f>2016237.07*0.05</f>
        <v>100811.85350000001</v>
      </c>
      <c r="H54" s="25">
        <f>383085.04*0.05</f>
        <v>19154.252</v>
      </c>
      <c r="I54" s="24">
        <f t="shared" si="39"/>
        <v>119966.1055</v>
      </c>
      <c r="J54" s="24">
        <f t="shared" si="40"/>
        <v>493850</v>
      </c>
      <c r="K54" s="26">
        <f>415000*0.95</f>
        <v>394250</v>
      </c>
      <c r="L54" s="26">
        <f>0.19*K54</f>
        <v>74907.5</v>
      </c>
      <c r="M54" s="26">
        <f t="shared" si="41"/>
        <v>469157.5</v>
      </c>
      <c r="N54" s="26">
        <f>415000*0.05</f>
        <v>20750</v>
      </c>
      <c r="O54" s="26">
        <f>0.19*N54</f>
        <v>3942.5</v>
      </c>
      <c r="P54" s="26">
        <f t="shared" si="42"/>
        <v>24692.5</v>
      </c>
      <c r="Q54" s="26"/>
      <c r="R54" s="26"/>
      <c r="S54" s="24">
        <f>V54+Y54</f>
        <v>0</v>
      </c>
      <c r="T54" s="26">
        <f>0*0.95</f>
        <v>0</v>
      </c>
      <c r="U54" s="26">
        <f>0.19*T54</f>
        <v>0</v>
      </c>
      <c r="V54" s="26">
        <f>T54+U54</f>
        <v>0</v>
      </c>
      <c r="W54" s="26">
        <f>0*0.05</f>
        <v>0</v>
      </c>
      <c r="X54" s="26">
        <f>0.19*W54</f>
        <v>0</v>
      </c>
      <c r="Y54" s="26">
        <f>W54+X54</f>
        <v>0</v>
      </c>
      <c r="Z54" s="26">
        <f t="shared" si="46"/>
        <v>0</v>
      </c>
      <c r="AA54" s="26"/>
      <c r="AB54" s="26"/>
      <c r="AC54" s="26">
        <f t="shared" si="47"/>
        <v>0</v>
      </c>
      <c r="AD54" s="26"/>
      <c r="AE54" s="26"/>
      <c r="AF54" s="27">
        <f t="shared" si="48"/>
        <v>0</v>
      </c>
      <c r="AG54" s="57"/>
      <c r="AH54" s="57"/>
      <c r="AI54" s="86" t="e">
        <f>(Z54+AF54)/(95/100*#REF!)</f>
        <v>#REF!</v>
      </c>
      <c r="AJ54" s="57">
        <f t="shared" si="49"/>
        <v>0</v>
      </c>
      <c r="AK54" s="57"/>
      <c r="AL54" s="57"/>
      <c r="AM54" s="57">
        <f t="shared" si="50"/>
        <v>469157.5</v>
      </c>
      <c r="AN54" s="57">
        <f t="shared" si="56"/>
        <v>394250</v>
      </c>
      <c r="AO54" s="57">
        <f t="shared" si="57"/>
        <v>74907.5</v>
      </c>
      <c r="AP54" s="57">
        <f t="shared" si="52"/>
        <v>24692.5</v>
      </c>
      <c r="AQ54" s="57">
        <f>N54-AD54-AK54</f>
        <v>20750</v>
      </c>
      <c r="AR54" s="57">
        <f>O54-AE54-AL54</f>
        <v>3942.5</v>
      </c>
      <c r="AS54" s="58">
        <f t="shared" si="54"/>
        <v>493850</v>
      </c>
      <c r="AT54" s="57">
        <f>D54-J54</f>
        <v>1421575.2164999999</v>
      </c>
    </row>
    <row r="55" spans="1:46" ht="15">
      <c r="A55" s="38" t="s">
        <v>76</v>
      </c>
      <c r="B55" s="39" t="s">
        <v>77</v>
      </c>
      <c r="C55" s="24">
        <f t="shared" si="37"/>
        <v>113050</v>
      </c>
      <c r="D55" s="48">
        <f>95000*0.95</f>
        <v>90250</v>
      </c>
      <c r="E55" s="25">
        <f>18050*0.95</f>
        <v>17147.5</v>
      </c>
      <c r="F55" s="24">
        <f t="shared" si="38"/>
        <v>107397.5</v>
      </c>
      <c r="G55" s="48">
        <f>95000*0.05</f>
        <v>4750</v>
      </c>
      <c r="H55" s="25">
        <f>18050*0.05</f>
        <v>902.5</v>
      </c>
      <c r="I55" s="24">
        <f t="shared" si="39"/>
        <v>5652.5</v>
      </c>
      <c r="J55" s="24">
        <f t="shared" si="40"/>
        <v>113050</v>
      </c>
      <c r="K55" s="26">
        <f>95000*0.95</f>
        <v>90250</v>
      </c>
      <c r="L55" s="26">
        <f>0.19*K55</f>
        <v>17147.5</v>
      </c>
      <c r="M55" s="26">
        <f t="shared" si="41"/>
        <v>107397.5</v>
      </c>
      <c r="N55" s="26">
        <f>95000*0.05</f>
        <v>4750</v>
      </c>
      <c r="O55" s="26">
        <f>0.19*N55</f>
        <v>902.5</v>
      </c>
      <c r="P55" s="26">
        <f t="shared" si="42"/>
        <v>5652.5</v>
      </c>
      <c r="Q55" s="26"/>
      <c r="R55" s="26"/>
      <c r="S55" s="24">
        <f>V55+Y55</f>
        <v>0</v>
      </c>
      <c r="T55" s="26">
        <f>0*0.95</f>
        <v>0</v>
      </c>
      <c r="U55" s="26">
        <f>0.19*T55</f>
        <v>0</v>
      </c>
      <c r="V55" s="26">
        <f>T55+U55</f>
        <v>0</v>
      </c>
      <c r="W55" s="26">
        <f>0*0.05</f>
        <v>0</v>
      </c>
      <c r="X55" s="26">
        <f>0.19*W55</f>
        <v>0</v>
      </c>
      <c r="Y55" s="26">
        <f>W55+X55</f>
        <v>0</v>
      </c>
      <c r="Z55" s="26">
        <f t="shared" si="46"/>
        <v>0</v>
      </c>
      <c r="AA55" s="26"/>
      <c r="AB55" s="26"/>
      <c r="AC55" s="26">
        <f t="shared" si="47"/>
        <v>0</v>
      </c>
      <c r="AD55" s="26"/>
      <c r="AE55" s="26"/>
      <c r="AF55" s="27">
        <f t="shared" si="48"/>
        <v>0</v>
      </c>
      <c r="AG55" s="57"/>
      <c r="AH55" s="57"/>
      <c r="AI55" s="86" t="e">
        <f>(Z55+AF55)/(95/100*#REF!)</f>
        <v>#REF!</v>
      </c>
      <c r="AJ55" s="57">
        <f t="shared" si="49"/>
        <v>0</v>
      </c>
      <c r="AK55" s="57"/>
      <c r="AL55" s="57"/>
      <c r="AM55" s="57">
        <f t="shared" si="50"/>
        <v>107397.5</v>
      </c>
      <c r="AN55" s="57">
        <f t="shared" si="56"/>
        <v>90250</v>
      </c>
      <c r="AO55" s="57">
        <f t="shared" si="57"/>
        <v>17147.5</v>
      </c>
      <c r="AP55" s="57">
        <f t="shared" si="52"/>
        <v>5652.5</v>
      </c>
      <c r="AQ55" s="57">
        <f>N55-AD55-AK55</f>
        <v>4750</v>
      </c>
      <c r="AR55" s="57">
        <f>O55-AE55-AL55</f>
        <v>902.5</v>
      </c>
      <c r="AS55" s="58">
        <f t="shared" si="54"/>
        <v>113050</v>
      </c>
      <c r="AT55" s="57">
        <f>D55-J55</f>
        <v>-22800</v>
      </c>
    </row>
    <row r="56" spans="1:46" s="107" customFormat="1" ht="15">
      <c r="A56" s="49">
        <v>3.8</v>
      </c>
      <c r="B56" s="50" t="s">
        <v>16</v>
      </c>
      <c r="C56" s="51">
        <f>SUM(C58:C60)</f>
        <v>3468678.17</v>
      </c>
      <c r="D56" s="51">
        <f>SUM(D58:D60)</f>
        <v>2769112.8295</v>
      </c>
      <c r="E56" s="51">
        <f>SUM(E58:E60)</f>
        <v>526131.4319999999</v>
      </c>
      <c r="F56" s="51">
        <f>SUM(F58:F60)</f>
        <v>3295244.2614999996</v>
      </c>
      <c r="G56" s="51">
        <f>SUM(G58:G60)</f>
        <v>145742.78050000002</v>
      </c>
      <c r="H56" s="51">
        <f>SUM(H58:H60)</f>
        <v>27691.128</v>
      </c>
      <c r="I56" s="51">
        <f>SUM(I58:I60)</f>
        <v>173433.90850000002</v>
      </c>
      <c r="J56" s="51">
        <f>SUM(J58:J60)</f>
        <v>2832795</v>
      </c>
      <c r="K56" s="51">
        <f>K57+K60</f>
        <v>2261475</v>
      </c>
      <c r="L56" s="51">
        <f>L57+L60</f>
        <v>429680.25</v>
      </c>
      <c r="M56" s="51">
        <f>SUM(M58:M60)</f>
        <v>2691155.25</v>
      </c>
      <c r="N56" s="51">
        <f>N57+N60</f>
        <v>119025</v>
      </c>
      <c r="O56" s="51">
        <f>O57+O60</f>
        <v>22614.75</v>
      </c>
      <c r="P56" s="51">
        <f>SUM(P58:P60)</f>
        <v>141639.75</v>
      </c>
      <c r="Q56" s="51"/>
      <c r="R56" s="51"/>
      <c r="S56" s="51">
        <f>SUM(S58:S60)</f>
        <v>0</v>
      </c>
      <c r="T56" s="51">
        <f>T57+T60</f>
        <v>0</v>
      </c>
      <c r="U56" s="51">
        <f>U57+U60</f>
        <v>0</v>
      </c>
      <c r="V56" s="51">
        <f>SUM(V58:V60)</f>
        <v>0</v>
      </c>
      <c r="W56" s="51">
        <f>W57+W60</f>
        <v>0</v>
      </c>
      <c r="X56" s="51">
        <f>X57+X60</f>
        <v>0</v>
      </c>
      <c r="Y56" s="51">
        <f>SUM(Y58:Y60)</f>
        <v>0</v>
      </c>
      <c r="Z56" s="51">
        <f>SUM(Z58:Z60)</f>
        <v>0</v>
      </c>
      <c r="AA56" s="51"/>
      <c r="AB56" s="51"/>
      <c r="AC56" s="51">
        <f>SUM(AC58:AC60)</f>
        <v>0</v>
      </c>
      <c r="AD56" s="51"/>
      <c r="AE56" s="51"/>
      <c r="AF56" s="51">
        <f>SUM(AF58:AF60)</f>
        <v>0</v>
      </c>
      <c r="AG56" s="51"/>
      <c r="AH56" s="51"/>
      <c r="AI56" s="86" t="e">
        <f>(Z56+AF56)/(95/100*#REF!)</f>
        <v>#REF!</v>
      </c>
      <c r="AJ56" s="51">
        <f>SUM(AJ58:AJ60)</f>
        <v>0</v>
      </c>
      <c r="AK56" s="51"/>
      <c r="AL56" s="51"/>
      <c r="AM56" s="51">
        <f>SUM(AM58:AM60)</f>
        <v>2691155.25</v>
      </c>
      <c r="AN56" s="51">
        <f t="shared" si="56"/>
        <v>2261475</v>
      </c>
      <c r="AO56" s="51">
        <f t="shared" si="57"/>
        <v>429680.25</v>
      </c>
      <c r="AP56" s="51">
        <f>SUM(AP58:AP60)</f>
        <v>141639.75</v>
      </c>
      <c r="AQ56" s="51">
        <f>SUM(AQ58:AQ60)</f>
        <v>119025</v>
      </c>
      <c r="AR56" s="51">
        <f>SUM(AR58:AR60)</f>
        <v>22614.75</v>
      </c>
      <c r="AS56" s="51">
        <f>SUM(AS58:AS60)</f>
        <v>2832795</v>
      </c>
      <c r="AT56" s="51">
        <f>SUM(AT58:AT60)</f>
        <v>635883.1699999998</v>
      </c>
    </row>
    <row r="57" spans="1:46" ht="22.5">
      <c r="A57" s="38" t="s">
        <v>78</v>
      </c>
      <c r="B57" s="39" t="s">
        <v>79</v>
      </c>
      <c r="C57" s="24">
        <f>SUM(C58:C59)</f>
        <v>1212156.06</v>
      </c>
      <c r="D57" s="24">
        <f>SUM(D58:D59)</f>
        <v>967687.6129999999</v>
      </c>
      <c r="E57" s="24">
        <f>SUM(E58:E59)</f>
        <v>183860.64399999997</v>
      </c>
      <c r="F57" s="24">
        <f>SUM(F58:F59)</f>
        <v>1151548.2569999998</v>
      </c>
      <c r="G57" s="24">
        <f>SUM(G58:G59)</f>
        <v>50930.927</v>
      </c>
      <c r="H57" s="24">
        <f>SUM(H58:H59)</f>
        <v>9676.876</v>
      </c>
      <c r="I57" s="24">
        <f>SUM(I58:I59)</f>
        <v>60607.803</v>
      </c>
      <c r="J57" s="24">
        <f>SUM(J58:J59)</f>
        <v>1012095</v>
      </c>
      <c r="K57" s="24">
        <f>K58+K59</f>
        <v>807975</v>
      </c>
      <c r="L57" s="24">
        <f>L58+L59</f>
        <v>153515.25</v>
      </c>
      <c r="M57" s="24">
        <f>SUM(M58:M59)</f>
        <v>961490.25</v>
      </c>
      <c r="N57" s="24">
        <f>N58+N59</f>
        <v>42525</v>
      </c>
      <c r="O57" s="24">
        <f>O58+O59</f>
        <v>8079.75</v>
      </c>
      <c r="P57" s="24">
        <f>SUM(P58:P59)</f>
        <v>50604.75</v>
      </c>
      <c r="Q57" s="24"/>
      <c r="R57" s="24"/>
      <c r="S57" s="24">
        <f>SUM(S58:S59)</f>
        <v>0</v>
      </c>
      <c r="T57" s="24">
        <f>T58+T59</f>
        <v>0</v>
      </c>
      <c r="U57" s="24">
        <f>U58+U59</f>
        <v>0</v>
      </c>
      <c r="V57" s="24">
        <f>SUM(V58:V59)</f>
        <v>0</v>
      </c>
      <c r="W57" s="24">
        <f>W58+W59</f>
        <v>0</v>
      </c>
      <c r="X57" s="24">
        <f>X58+X59</f>
        <v>0</v>
      </c>
      <c r="Y57" s="24">
        <f>SUM(Y58:Y59)</f>
        <v>0</v>
      </c>
      <c r="Z57" s="24">
        <f>SUM(Z58:Z59)</f>
        <v>0</v>
      </c>
      <c r="AA57" s="24"/>
      <c r="AB57" s="24"/>
      <c r="AC57" s="24">
        <f>SUM(AC58:AC59)</f>
        <v>0</v>
      </c>
      <c r="AD57" s="24"/>
      <c r="AE57" s="24"/>
      <c r="AF57" s="24">
        <f>SUM(AF58:AF59)</f>
        <v>0</v>
      </c>
      <c r="AG57" s="24"/>
      <c r="AH57" s="24"/>
      <c r="AI57" s="86" t="e">
        <f>(Z57+AF57)/(95/100*#REF!)</f>
        <v>#REF!</v>
      </c>
      <c r="AJ57" s="24">
        <f>SUM(AJ58:AJ59)</f>
        <v>0</v>
      </c>
      <c r="AK57" s="24"/>
      <c r="AL57" s="24"/>
      <c r="AM57" s="24">
        <f>SUM(AM58:AM59)</f>
        <v>961490.25</v>
      </c>
      <c r="AN57" s="24">
        <f t="shared" si="56"/>
        <v>807975</v>
      </c>
      <c r="AO57" s="24">
        <f t="shared" si="57"/>
        <v>153515.25</v>
      </c>
      <c r="AP57" s="24">
        <f>SUM(AP58:AP59)</f>
        <v>50604.75</v>
      </c>
      <c r="AQ57" s="24">
        <f>SUM(AQ58:AQ59)</f>
        <v>42525</v>
      </c>
      <c r="AR57" s="24">
        <f>SUM(AR58:AR59)</f>
        <v>8079.75</v>
      </c>
      <c r="AS57" s="24">
        <f>SUM(AS58:AS59)</f>
        <v>1012095</v>
      </c>
      <c r="AT57" s="24">
        <f>SUM(AT58:AT59)</f>
        <v>200061.05999999994</v>
      </c>
    </row>
    <row r="58" spans="1:46" ht="15">
      <c r="A58" s="83" t="s">
        <v>80</v>
      </c>
      <c r="B58" s="36" t="s">
        <v>81</v>
      </c>
      <c r="C58" s="24">
        <f>F58+I58</f>
        <v>665280.5299999999</v>
      </c>
      <c r="D58" s="48">
        <f>559059.27*0.95</f>
        <v>531106.3065</v>
      </c>
      <c r="E58" s="25">
        <f>106221.26*0.95</f>
        <v>100910.19699999999</v>
      </c>
      <c r="F58" s="24">
        <f>D58+E58</f>
        <v>632016.5034999999</v>
      </c>
      <c r="G58" s="48">
        <f>559059.27*0.05</f>
        <v>27952.9635</v>
      </c>
      <c r="H58" s="25">
        <f>106221.26*0.05</f>
        <v>5311.063</v>
      </c>
      <c r="I58" s="24">
        <f>G58+H58</f>
        <v>33264.0265</v>
      </c>
      <c r="J58" s="24">
        <f>M58+P58</f>
        <v>1012095</v>
      </c>
      <c r="K58" s="26">
        <f>850500*0.95</f>
        <v>807975</v>
      </c>
      <c r="L58" s="26">
        <f>0.19*K58</f>
        <v>153515.25</v>
      </c>
      <c r="M58" s="26">
        <f>K58+L58</f>
        <v>961490.25</v>
      </c>
      <c r="N58" s="26">
        <f>850500*0.05</f>
        <v>42525</v>
      </c>
      <c r="O58" s="26">
        <f>0.19*N58</f>
        <v>8079.75</v>
      </c>
      <c r="P58" s="26">
        <f>N58+O58</f>
        <v>50604.75</v>
      </c>
      <c r="Q58" s="26"/>
      <c r="R58" s="26"/>
      <c r="S58" s="24">
        <f>V58+Y58</f>
        <v>0</v>
      </c>
      <c r="T58" s="26">
        <f>0*0.95</f>
        <v>0</v>
      </c>
      <c r="U58" s="26">
        <f>0.19*T58</f>
        <v>0</v>
      </c>
      <c r="V58" s="26">
        <f>T58+U58</f>
        <v>0</v>
      </c>
      <c r="W58" s="26">
        <f>0*0.05</f>
        <v>0</v>
      </c>
      <c r="X58" s="26">
        <f>0.19*W58</f>
        <v>0</v>
      </c>
      <c r="Y58" s="26">
        <f>W58+X58</f>
        <v>0</v>
      </c>
      <c r="Z58" s="26">
        <f>AA58+AB58</f>
        <v>0</v>
      </c>
      <c r="AA58" s="26"/>
      <c r="AB58" s="26"/>
      <c r="AC58" s="26">
        <f>AD58+AE58</f>
        <v>0</v>
      </c>
      <c r="AD58" s="26"/>
      <c r="AE58" s="26"/>
      <c r="AF58" s="27">
        <f>AG58+AH58</f>
        <v>0</v>
      </c>
      <c r="AG58" s="57"/>
      <c r="AH58" s="57"/>
      <c r="AI58" s="86" t="e">
        <f>(Z58+AF58)/(95/100*#REF!)</f>
        <v>#REF!</v>
      </c>
      <c r="AJ58" s="57">
        <f>AK58+AL58</f>
        <v>0</v>
      </c>
      <c r="AK58" s="57"/>
      <c r="AL58" s="57"/>
      <c r="AM58" s="57">
        <f>AN58+AO58</f>
        <v>961490.25</v>
      </c>
      <c r="AN58" s="57">
        <f t="shared" si="56"/>
        <v>807975</v>
      </c>
      <c r="AO58" s="57">
        <f t="shared" si="57"/>
        <v>153515.25</v>
      </c>
      <c r="AP58" s="57">
        <f>AQ58+AR58</f>
        <v>50604.75</v>
      </c>
      <c r="AQ58" s="57">
        <f aca="true" t="shared" si="60" ref="AQ58:AR60">N58-AD58-AK58</f>
        <v>42525</v>
      </c>
      <c r="AR58" s="57">
        <f t="shared" si="60"/>
        <v>8079.75</v>
      </c>
      <c r="AS58" s="58">
        <f>AM58+AP58</f>
        <v>1012095</v>
      </c>
      <c r="AT58" s="57">
        <f>C58-J58</f>
        <v>-346814.4700000001</v>
      </c>
    </row>
    <row r="59" spans="1:46" ht="45">
      <c r="A59" s="83" t="s">
        <v>82</v>
      </c>
      <c r="B59" s="36" t="s">
        <v>83</v>
      </c>
      <c r="C59" s="24">
        <f>F59+I59</f>
        <v>546875.53</v>
      </c>
      <c r="D59" s="48">
        <f>459559.27*0.95</f>
        <v>436581.3065</v>
      </c>
      <c r="E59" s="25">
        <f>87316.26*0.95</f>
        <v>82950.44699999999</v>
      </c>
      <c r="F59" s="24">
        <f>D59+E59</f>
        <v>519531.7535</v>
      </c>
      <c r="G59" s="48">
        <f>459559.27*0.05</f>
        <v>22977.9635</v>
      </c>
      <c r="H59" s="25">
        <f>87316.26*0.05</f>
        <v>4365.813</v>
      </c>
      <c r="I59" s="24">
        <f>G59+H59</f>
        <v>27343.7765</v>
      </c>
      <c r="J59" s="24">
        <f>M59+P59</f>
        <v>0</v>
      </c>
      <c r="K59" s="26">
        <v>0</v>
      </c>
      <c r="L59" s="26">
        <f>0.19*K59</f>
        <v>0</v>
      </c>
      <c r="M59" s="26">
        <f>K59+L59</f>
        <v>0</v>
      </c>
      <c r="N59" s="26">
        <v>0</v>
      </c>
      <c r="O59" s="26">
        <f>0.19*N59</f>
        <v>0</v>
      </c>
      <c r="P59" s="26">
        <f>N59+O59</f>
        <v>0</v>
      </c>
      <c r="Q59" s="26"/>
      <c r="R59" s="26"/>
      <c r="S59" s="24">
        <f>V59+Y59</f>
        <v>0</v>
      </c>
      <c r="T59" s="26">
        <v>0</v>
      </c>
      <c r="U59" s="26">
        <f>0.19*T59</f>
        <v>0</v>
      </c>
      <c r="V59" s="26">
        <f>T59+U59</f>
        <v>0</v>
      </c>
      <c r="W59" s="26">
        <v>0</v>
      </c>
      <c r="X59" s="26">
        <f>0.19*W59</f>
        <v>0</v>
      </c>
      <c r="Y59" s="26">
        <f>W59+X59</f>
        <v>0</v>
      </c>
      <c r="Z59" s="26">
        <f>AA59+AB59</f>
        <v>0</v>
      </c>
      <c r="AA59" s="26"/>
      <c r="AB59" s="26"/>
      <c r="AC59" s="26">
        <f>AD59+AE59</f>
        <v>0</v>
      </c>
      <c r="AD59" s="26"/>
      <c r="AE59" s="26"/>
      <c r="AF59" s="27">
        <f>AG59+AH59</f>
        <v>0</v>
      </c>
      <c r="AG59" s="57"/>
      <c r="AH59" s="57"/>
      <c r="AI59" s="86" t="e">
        <f>(Z59+AF59)/(95/100*#REF!)</f>
        <v>#REF!</v>
      </c>
      <c r="AJ59" s="57">
        <f>AK59+AL59</f>
        <v>0</v>
      </c>
      <c r="AK59" s="57"/>
      <c r="AL59" s="57"/>
      <c r="AM59" s="57">
        <f>AN59+AO59</f>
        <v>0</v>
      </c>
      <c r="AN59" s="57">
        <f t="shared" si="56"/>
        <v>0</v>
      </c>
      <c r="AO59" s="57">
        <f t="shared" si="57"/>
        <v>0</v>
      </c>
      <c r="AP59" s="57">
        <f>AQ59+AR59</f>
        <v>0</v>
      </c>
      <c r="AQ59" s="57">
        <f t="shared" si="60"/>
        <v>0</v>
      </c>
      <c r="AR59" s="57">
        <f t="shared" si="60"/>
        <v>0</v>
      </c>
      <c r="AS59" s="58">
        <f>AM59+AP59</f>
        <v>0</v>
      </c>
      <c r="AT59" s="57">
        <f>C59-J59</f>
        <v>546875.53</v>
      </c>
    </row>
    <row r="60" spans="1:46" ht="15">
      <c r="A60" s="38" t="s">
        <v>84</v>
      </c>
      <c r="B60" s="39" t="s">
        <v>85</v>
      </c>
      <c r="C60" s="24">
        <f>F60+I60</f>
        <v>2256522.11</v>
      </c>
      <c r="D60" s="48">
        <f>1896237.07*0.95</f>
        <v>1801425.2164999999</v>
      </c>
      <c r="E60" s="25">
        <f>360285.04*0.95</f>
        <v>342270.78799999994</v>
      </c>
      <c r="F60" s="24">
        <f>D60+E60</f>
        <v>2143696.0045</v>
      </c>
      <c r="G60" s="48">
        <f>1896237.07*0.05</f>
        <v>94811.85350000001</v>
      </c>
      <c r="H60" s="25">
        <f>360285.04*0.05</f>
        <v>18014.252</v>
      </c>
      <c r="I60" s="24">
        <f>G60+H60</f>
        <v>112826.1055</v>
      </c>
      <c r="J60" s="24">
        <f>M60+P60</f>
        <v>1820700</v>
      </c>
      <c r="K60" s="26">
        <f>1530000*0.95</f>
        <v>1453500</v>
      </c>
      <c r="L60" s="26">
        <f>0.19*K60</f>
        <v>276165</v>
      </c>
      <c r="M60" s="26">
        <f>K60+L60</f>
        <v>1729665</v>
      </c>
      <c r="N60" s="26">
        <f>1530000*0.05</f>
        <v>76500</v>
      </c>
      <c r="O60" s="26">
        <f>0.19*N60</f>
        <v>14535</v>
      </c>
      <c r="P60" s="26">
        <f>N60+O60</f>
        <v>91035</v>
      </c>
      <c r="Q60" s="26"/>
      <c r="R60" s="26"/>
      <c r="S60" s="24">
        <f>V60+Y60</f>
        <v>0</v>
      </c>
      <c r="T60" s="26">
        <f>0*0.95</f>
        <v>0</v>
      </c>
      <c r="U60" s="26">
        <f>0.19*T60</f>
        <v>0</v>
      </c>
      <c r="V60" s="26">
        <f>T60+U60</f>
        <v>0</v>
      </c>
      <c r="W60" s="26">
        <f>0*0.05</f>
        <v>0</v>
      </c>
      <c r="X60" s="26">
        <f>0.19*W60</f>
        <v>0</v>
      </c>
      <c r="Y60" s="26">
        <f>W60+X60</f>
        <v>0</v>
      </c>
      <c r="Z60" s="26">
        <f>AA60+AB60</f>
        <v>0</v>
      </c>
      <c r="AA60" s="26"/>
      <c r="AB60" s="26"/>
      <c r="AC60" s="26">
        <f>AD60+AE60</f>
        <v>0</v>
      </c>
      <c r="AD60" s="26"/>
      <c r="AE60" s="26"/>
      <c r="AF60" s="27">
        <f>AG60+AH60</f>
        <v>0</v>
      </c>
      <c r="AG60" s="57"/>
      <c r="AH60" s="57"/>
      <c r="AI60" s="86" t="e">
        <f>(Z60+AF60)/(95/100*#REF!)</f>
        <v>#REF!</v>
      </c>
      <c r="AJ60" s="57">
        <f>AK60+AL60</f>
        <v>0</v>
      </c>
      <c r="AK60" s="57"/>
      <c r="AL60" s="57"/>
      <c r="AM60" s="57">
        <f>AN60+AO60</f>
        <v>1729665</v>
      </c>
      <c r="AN60" s="57">
        <f t="shared" si="56"/>
        <v>1453500</v>
      </c>
      <c r="AO60" s="57">
        <f t="shared" si="57"/>
        <v>276165</v>
      </c>
      <c r="AP60" s="57">
        <f>AQ60+AR60</f>
        <v>91035</v>
      </c>
      <c r="AQ60" s="57">
        <f t="shared" si="60"/>
        <v>76500</v>
      </c>
      <c r="AR60" s="57">
        <f t="shared" si="60"/>
        <v>14535</v>
      </c>
      <c r="AS60" s="58">
        <f>AM60+AP60</f>
        <v>1820700</v>
      </c>
      <c r="AT60" s="57">
        <f>C60-J60</f>
        <v>435822.10999999987</v>
      </c>
    </row>
    <row r="61" spans="1:46" ht="15">
      <c r="A61" s="127" t="s">
        <v>17</v>
      </c>
      <c r="B61" s="127"/>
      <c r="C61" s="19">
        <f aca="true" t="shared" si="61" ref="C61:Z61">C38+C42+C43+C44+C45+C52+C53+C56</f>
        <v>13487120.82</v>
      </c>
      <c r="D61" s="19">
        <f t="shared" si="61"/>
        <v>10767029.230999999</v>
      </c>
      <c r="E61" s="19">
        <f t="shared" si="61"/>
        <v>2045735.548</v>
      </c>
      <c r="F61" s="19">
        <f t="shared" si="61"/>
        <v>12812764.779</v>
      </c>
      <c r="G61" s="19">
        <f t="shared" si="61"/>
        <v>566685.7490000001</v>
      </c>
      <c r="H61" s="19">
        <f t="shared" si="61"/>
        <v>107670.292</v>
      </c>
      <c r="I61" s="19">
        <f t="shared" si="61"/>
        <v>674356.041</v>
      </c>
      <c r="J61" s="19">
        <f t="shared" si="61"/>
        <v>11752990.969999999</v>
      </c>
      <c r="K61" s="19">
        <f t="shared" si="61"/>
        <v>9382639.85</v>
      </c>
      <c r="L61" s="19">
        <f t="shared" si="61"/>
        <v>1782701.5714999998</v>
      </c>
      <c r="M61" s="19">
        <f t="shared" si="61"/>
        <v>11165341.4215</v>
      </c>
      <c r="N61" s="19">
        <f t="shared" si="61"/>
        <v>493823.15</v>
      </c>
      <c r="O61" s="19">
        <f t="shared" si="61"/>
        <v>93826.3985</v>
      </c>
      <c r="P61" s="19">
        <f t="shared" si="61"/>
        <v>587649.5485</v>
      </c>
      <c r="Q61" s="19"/>
      <c r="R61" s="19"/>
      <c r="S61" s="19" t="e">
        <f>S38+S42+S43+S44+S45+S52+S53+S56</f>
        <v>#REF!</v>
      </c>
      <c r="T61" s="19" t="e">
        <f t="shared" si="61"/>
        <v>#REF!</v>
      </c>
      <c r="U61" s="19" t="e">
        <f t="shared" si="61"/>
        <v>#REF!</v>
      </c>
      <c r="V61" s="19" t="e">
        <f t="shared" si="61"/>
        <v>#REF!</v>
      </c>
      <c r="W61" s="19" t="e">
        <f t="shared" si="61"/>
        <v>#REF!</v>
      </c>
      <c r="X61" s="19" t="e">
        <f t="shared" si="61"/>
        <v>#REF!</v>
      </c>
      <c r="Y61" s="19" t="e">
        <f t="shared" si="61"/>
        <v>#REF!</v>
      </c>
      <c r="Z61" s="19">
        <f t="shared" si="61"/>
        <v>399014.7345</v>
      </c>
      <c r="AA61" s="19">
        <f>AA38+AA42+AA43+AA44+AA45+AA52+AA53+AA56+AA50</f>
        <v>469822.12</v>
      </c>
      <c r="AB61" s="19">
        <f>AB38+AB42+AB43+AB44+AB45+AB52+AB53+AB56+AB50</f>
        <v>83454.09899999999</v>
      </c>
      <c r="AC61" s="19">
        <f>AC38+AC42+AC43+AC44+AC45+AC52+AC53+AC56</f>
        <v>21000.7755</v>
      </c>
      <c r="AD61" s="19">
        <f>AD38+AD42+AD43+AD44+AD45+AD52+AD53+AD56+AD50</f>
        <v>24727.479999999996</v>
      </c>
      <c r="AE61" s="19">
        <f>AE38+AE42+AE43+AE44+AE45+AE52+AE53+AE56+AE50</f>
        <v>4392.321</v>
      </c>
      <c r="AF61" s="19">
        <f>AF38+AF42+AF43+AF44+AF45+AF52+AF53+AF56</f>
        <v>7214319.35065097</v>
      </c>
      <c r="AG61" s="19">
        <f>AG38+AG42+AG43+AG44+AG45+AG52+AG53+AG56+AG50</f>
        <v>5956777.45035</v>
      </c>
      <c r="AH61" s="19">
        <f>AH38+AH42+AH43+AH44+AH45+AH52+AH53+AH56+AH50</f>
        <v>1257541.9003009694</v>
      </c>
      <c r="AI61" s="91" t="e">
        <f>(Z61+AF61)/(95/100*#REF!)</f>
        <v>#REF!</v>
      </c>
      <c r="AJ61" s="19">
        <f>AJ38+AJ42+AJ43+AJ44+AJ45+AJ52+AJ53+AJ56+AJ50</f>
        <v>379701.018765</v>
      </c>
      <c r="AK61" s="19">
        <f>AK38+AK42+AK43+AK44+AK45+AK52+AK53+AK56+AK50</f>
        <v>313514.60265</v>
      </c>
      <c r="AL61" s="19">
        <f>AL38+AL42+AL43+AL44+AL45+AL52+AL53+AL56+AL50</f>
        <v>66186.416115</v>
      </c>
      <c r="AM61" s="19" t="e">
        <f>AM38+AM42+AM43+AM44+AM45+AM52+AM53+AM56</f>
        <v>#REF!</v>
      </c>
      <c r="AN61" s="19">
        <f t="shared" si="56"/>
        <v>2956040.279650001</v>
      </c>
      <c r="AO61" s="19">
        <f t="shared" si="57"/>
        <v>441705.57219903055</v>
      </c>
      <c r="AP61" s="19" t="e">
        <f>AP38+AP42+AP43+AP44+AP45+AP52+AP53+AP56</f>
        <v>#REF!</v>
      </c>
      <c r="AQ61" s="19" t="e">
        <f>AQ38+AQ42+AQ43+AQ44+AQ45+AQ52+AQ53+AQ56</f>
        <v>#REF!</v>
      </c>
      <c r="AR61" s="19" t="e">
        <f>AR38+AR42+AR43+AR44+AR45+AR52+AR53+AR56</f>
        <v>#REF!</v>
      </c>
      <c r="AS61" s="19" t="e">
        <f>AS38+AS42+AS43+AS44+AS45+AS52+AS53+AS56</f>
        <v>#REF!</v>
      </c>
      <c r="AT61" s="19">
        <f>AT38+AT42+AT43+AT44+AT45+AT52+AT53+AT56</f>
        <v>1227432.9565000003</v>
      </c>
    </row>
    <row r="62" spans="1:46" ht="15">
      <c r="A62" s="163"/>
      <c r="B62" s="163"/>
      <c r="C62" s="40"/>
      <c r="D62" s="31"/>
      <c r="E62" s="31"/>
      <c r="F62" s="32"/>
      <c r="G62" s="31"/>
      <c r="H62" s="31"/>
      <c r="I62" s="32"/>
      <c r="J62" s="32"/>
      <c r="K62" s="31"/>
      <c r="L62" s="31"/>
      <c r="M62" s="31"/>
      <c r="N62" s="31"/>
      <c r="O62" s="31"/>
      <c r="P62" s="31"/>
      <c r="Q62" s="31"/>
      <c r="R62" s="31"/>
      <c r="S62" s="32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3"/>
      <c r="AG62" s="103"/>
      <c r="AH62" s="103"/>
      <c r="AI62" s="89"/>
      <c r="AJ62" s="103"/>
      <c r="AK62" s="103"/>
      <c r="AL62" s="103"/>
      <c r="AM62" s="103"/>
      <c r="AN62" s="103"/>
      <c r="AO62" s="103"/>
      <c r="AP62" s="103"/>
      <c r="AQ62" s="103"/>
      <c r="AR62" s="103"/>
      <c r="AS62" s="104"/>
      <c r="AT62" s="105"/>
    </row>
    <row r="63" spans="1:46" ht="31.5" customHeight="1">
      <c r="A63" s="127" t="s">
        <v>18</v>
      </c>
      <c r="B63" s="127"/>
      <c r="C63" s="19"/>
      <c r="D63" s="20"/>
      <c r="E63" s="20"/>
      <c r="F63" s="21"/>
      <c r="G63" s="20"/>
      <c r="H63" s="20"/>
      <c r="I63" s="21"/>
      <c r="J63" s="21"/>
      <c r="K63" s="20"/>
      <c r="L63" s="20"/>
      <c r="M63" s="20"/>
      <c r="N63" s="20"/>
      <c r="O63" s="20"/>
      <c r="P63" s="20"/>
      <c r="Q63" s="20"/>
      <c r="R63" s="20"/>
      <c r="S63" s="21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2"/>
      <c r="AG63" s="98"/>
      <c r="AH63" s="98"/>
      <c r="AI63" s="88"/>
      <c r="AJ63" s="98"/>
      <c r="AK63" s="98"/>
      <c r="AL63" s="98"/>
      <c r="AM63" s="98"/>
      <c r="AN63" s="98"/>
      <c r="AO63" s="98"/>
      <c r="AP63" s="98"/>
      <c r="AQ63" s="98"/>
      <c r="AR63" s="98"/>
      <c r="AS63" s="99"/>
      <c r="AT63" s="100"/>
    </row>
    <row r="64" spans="1:46" ht="15">
      <c r="A64" s="82" t="s">
        <v>19</v>
      </c>
      <c r="B64" s="41" t="s">
        <v>20</v>
      </c>
      <c r="C64" s="24">
        <f aca="true" t="shared" si="62" ref="C64:C69">F64+I64</f>
        <v>229177154.92</v>
      </c>
      <c r="D64" s="24">
        <f>192585844.47*0.95</f>
        <v>182956552.2465</v>
      </c>
      <c r="E64" s="24">
        <f>36591310.45*0.95</f>
        <v>34761744.9275</v>
      </c>
      <c r="F64" s="24">
        <f aca="true" t="shared" si="63" ref="F64:F69">D64+E64</f>
        <v>217718297.174</v>
      </c>
      <c r="G64" s="24">
        <f>192585844.47*0.05</f>
        <v>9629292.2235</v>
      </c>
      <c r="H64" s="24">
        <f>36591310.45*0.05</f>
        <v>1829565.5225000002</v>
      </c>
      <c r="I64" s="24">
        <f aca="true" t="shared" si="64" ref="I64:I69">G64+H64</f>
        <v>11458857.746000001</v>
      </c>
      <c r="J64" s="24">
        <f aca="true" t="shared" si="65" ref="J64:J69">M64+P64</f>
        <v>251110894.4246</v>
      </c>
      <c r="K64" s="24">
        <f>211017558.34*0.95</f>
        <v>200466680.423</v>
      </c>
      <c r="L64" s="24">
        <f aca="true" t="shared" si="66" ref="L64:L69">0.19*K64</f>
        <v>38088669.280370004</v>
      </c>
      <c r="M64" s="24">
        <f aca="true" t="shared" si="67" ref="M64:M69">K64+L64</f>
        <v>238555349.70337</v>
      </c>
      <c r="N64" s="24">
        <f>211017558.34*0.05</f>
        <v>10550877.917000001</v>
      </c>
      <c r="O64" s="24">
        <f aca="true" t="shared" si="68" ref="O64:O69">0.19*N64</f>
        <v>2004666.8042300004</v>
      </c>
      <c r="P64" s="24">
        <f aca="true" t="shared" si="69" ref="P64:P69">N64+O64</f>
        <v>12555544.721230002</v>
      </c>
      <c r="Q64" s="24"/>
      <c r="R64" s="24"/>
      <c r="S64" s="24">
        <f aca="true" t="shared" si="70" ref="S64:S69">V64+Y64</f>
        <v>0</v>
      </c>
      <c r="T64" s="24">
        <f aca="true" t="shared" si="71" ref="T64:T69">0*0.95</f>
        <v>0</v>
      </c>
      <c r="U64" s="24">
        <f aca="true" t="shared" si="72" ref="U64:U69">0.19*T64</f>
        <v>0</v>
      </c>
      <c r="V64" s="24">
        <f aca="true" t="shared" si="73" ref="V64:V69">T64+U64</f>
        <v>0</v>
      </c>
      <c r="W64" s="24">
        <f aca="true" t="shared" si="74" ref="W64:W69">0*0.05</f>
        <v>0</v>
      </c>
      <c r="X64" s="24">
        <f aca="true" t="shared" si="75" ref="X64:X69">0.19*W64</f>
        <v>0</v>
      </c>
      <c r="Y64" s="24">
        <f aca="true" t="shared" si="76" ref="Y64:Y69">W64+X64</f>
        <v>0</v>
      </c>
      <c r="Z64" s="24">
        <f aca="true" t="shared" si="77" ref="Z64:Z69">AA64+AB64</f>
        <v>0</v>
      </c>
      <c r="AA64" s="24"/>
      <c r="AB64" s="24"/>
      <c r="AC64" s="24">
        <f aca="true" t="shared" si="78" ref="AC64:AC69">AD64+AE64</f>
        <v>0</v>
      </c>
      <c r="AD64" s="24"/>
      <c r="AE64" s="24"/>
      <c r="AF64" s="24">
        <f aca="true" t="shared" si="79" ref="AF64:AF69">AG64+AH64</f>
        <v>0</v>
      </c>
      <c r="AG64" s="24"/>
      <c r="AH64" s="24"/>
      <c r="AI64" s="86" t="e">
        <f>(Z64+AF64)/(95/100*#REF!)</f>
        <v>#REF!</v>
      </c>
      <c r="AJ64" s="24">
        <f aca="true" t="shared" si="80" ref="AJ64:AJ69">AK64+AL64</f>
        <v>0</v>
      </c>
      <c r="AK64" s="24"/>
      <c r="AL64" s="24"/>
      <c r="AM64" s="24">
        <f aca="true" t="shared" si="81" ref="AM64:AM69">AN64+AO64</f>
        <v>238555349.70337</v>
      </c>
      <c r="AN64" s="24">
        <f aca="true" t="shared" si="82" ref="AN64:AO70">K64-AA64-AG64</f>
        <v>200466680.423</v>
      </c>
      <c r="AO64" s="24">
        <f t="shared" si="82"/>
        <v>38088669.280370004</v>
      </c>
      <c r="AP64" s="24">
        <f aca="true" t="shared" si="83" ref="AP64:AP69">AQ64+AR64</f>
        <v>12555544.721230002</v>
      </c>
      <c r="AQ64" s="24">
        <f aca="true" t="shared" si="84" ref="AQ64:AR69">N64-AD64-AK64</f>
        <v>10550877.917000001</v>
      </c>
      <c r="AR64" s="24">
        <f t="shared" si="84"/>
        <v>2004666.8042300004</v>
      </c>
      <c r="AS64" s="24">
        <f aca="true" t="shared" si="85" ref="AS64:AS69">AM64+AP64</f>
        <v>251110894.4246</v>
      </c>
      <c r="AT64" s="24">
        <f aca="true" t="shared" si="86" ref="AT64:AT69">C64-J64</f>
        <v>-21933739.50460002</v>
      </c>
    </row>
    <row r="65" spans="1:46" ht="22.5">
      <c r="A65" s="82">
        <v>4.2</v>
      </c>
      <c r="B65" s="41" t="s">
        <v>87</v>
      </c>
      <c r="C65" s="24">
        <f t="shared" si="62"/>
        <v>4567204.8</v>
      </c>
      <c r="D65" s="24">
        <f>3837987.23*0.95</f>
        <v>3646087.8685</v>
      </c>
      <c r="E65" s="24">
        <f>729217.57*0.95</f>
        <v>692756.6915</v>
      </c>
      <c r="F65" s="24">
        <f t="shared" si="63"/>
        <v>4338844.56</v>
      </c>
      <c r="G65" s="24">
        <f>3837987.23*0.05</f>
        <v>191899.3615</v>
      </c>
      <c r="H65" s="24">
        <f>729217.57*0.05</f>
        <v>36460.8785</v>
      </c>
      <c r="I65" s="24">
        <f t="shared" si="64"/>
        <v>228360.24</v>
      </c>
      <c r="J65" s="24">
        <f t="shared" si="65"/>
        <v>5092715.4558</v>
      </c>
      <c r="K65" s="24">
        <f>4279592.82*0.95</f>
        <v>4065613.179</v>
      </c>
      <c r="L65" s="24">
        <f t="shared" si="66"/>
        <v>772466.50401</v>
      </c>
      <c r="M65" s="24">
        <f t="shared" si="67"/>
        <v>4838079.68301</v>
      </c>
      <c r="N65" s="24">
        <f>4279592.82*0.05</f>
        <v>213979.64100000003</v>
      </c>
      <c r="O65" s="24">
        <f t="shared" si="68"/>
        <v>40656.13179000001</v>
      </c>
      <c r="P65" s="24">
        <f t="shared" si="69"/>
        <v>254635.77279000005</v>
      </c>
      <c r="Q65" s="24"/>
      <c r="R65" s="24"/>
      <c r="S65" s="24">
        <f t="shared" si="70"/>
        <v>0</v>
      </c>
      <c r="T65" s="24">
        <f t="shared" si="71"/>
        <v>0</v>
      </c>
      <c r="U65" s="24">
        <f t="shared" si="72"/>
        <v>0</v>
      </c>
      <c r="V65" s="24">
        <f t="shared" si="73"/>
        <v>0</v>
      </c>
      <c r="W65" s="24">
        <f t="shared" si="74"/>
        <v>0</v>
      </c>
      <c r="X65" s="24">
        <f t="shared" si="75"/>
        <v>0</v>
      </c>
      <c r="Y65" s="24">
        <f t="shared" si="76"/>
        <v>0</v>
      </c>
      <c r="Z65" s="24">
        <f t="shared" si="77"/>
        <v>0</v>
      </c>
      <c r="AA65" s="24"/>
      <c r="AB65" s="24"/>
      <c r="AC65" s="24">
        <f t="shared" si="78"/>
        <v>0</v>
      </c>
      <c r="AD65" s="24"/>
      <c r="AE65" s="24"/>
      <c r="AF65" s="24">
        <f t="shared" si="79"/>
        <v>0</v>
      </c>
      <c r="AG65" s="24"/>
      <c r="AH65" s="24"/>
      <c r="AI65" s="86" t="e">
        <f>(Z65+AF65)/(95/100*#REF!)</f>
        <v>#REF!</v>
      </c>
      <c r="AJ65" s="24">
        <f t="shared" si="80"/>
        <v>0</v>
      </c>
      <c r="AK65" s="24"/>
      <c r="AL65" s="24"/>
      <c r="AM65" s="24">
        <f t="shared" si="81"/>
        <v>4838079.68301</v>
      </c>
      <c r="AN65" s="24">
        <f t="shared" si="82"/>
        <v>4065613.179</v>
      </c>
      <c r="AO65" s="24">
        <f t="shared" si="82"/>
        <v>772466.50401</v>
      </c>
      <c r="AP65" s="24">
        <f t="shared" si="83"/>
        <v>254635.77279000005</v>
      </c>
      <c r="AQ65" s="24">
        <f t="shared" si="84"/>
        <v>213979.64100000003</v>
      </c>
      <c r="AR65" s="24">
        <f t="shared" si="84"/>
        <v>40656.13179000001</v>
      </c>
      <c r="AS65" s="24">
        <f t="shared" si="85"/>
        <v>5092715.4558</v>
      </c>
      <c r="AT65" s="24">
        <f t="shared" si="86"/>
        <v>-525510.6557999998</v>
      </c>
    </row>
    <row r="66" spans="1:46" ht="22.5">
      <c r="A66" s="82">
        <v>4.3</v>
      </c>
      <c r="B66" s="41" t="s">
        <v>88</v>
      </c>
      <c r="C66" s="24">
        <f t="shared" si="62"/>
        <v>68064019.08</v>
      </c>
      <c r="D66" s="24">
        <f>57196654.69*0.95</f>
        <v>54336821.95549999</v>
      </c>
      <c r="E66" s="24">
        <f>10867364.39*0.95</f>
        <v>10323996.170500001</v>
      </c>
      <c r="F66" s="24">
        <f t="shared" si="63"/>
        <v>64660818.125999995</v>
      </c>
      <c r="G66" s="24">
        <f>57196654.69*0.05</f>
        <v>2859832.7345000003</v>
      </c>
      <c r="H66" s="24">
        <f>10867364.39*0.05</f>
        <v>543368.2195</v>
      </c>
      <c r="I66" s="24">
        <f t="shared" si="64"/>
        <v>3403200.9540000004</v>
      </c>
      <c r="J66" s="24">
        <f t="shared" si="65"/>
        <v>67015905.3872</v>
      </c>
      <c r="K66" s="24">
        <f>56315886.88*0.95</f>
        <v>53500092.536</v>
      </c>
      <c r="L66" s="24">
        <f t="shared" si="66"/>
        <v>10165017.58184</v>
      </c>
      <c r="M66" s="24">
        <f t="shared" si="67"/>
        <v>63665110.11784</v>
      </c>
      <c r="N66" s="24">
        <f>56315886.88*0.05</f>
        <v>2815794.3440000005</v>
      </c>
      <c r="O66" s="24">
        <f t="shared" si="68"/>
        <v>535000.9253600001</v>
      </c>
      <c r="P66" s="24">
        <f t="shared" si="69"/>
        <v>3350795.2693600007</v>
      </c>
      <c r="Q66" s="24"/>
      <c r="R66" s="24"/>
      <c r="S66" s="24">
        <f t="shared" si="70"/>
        <v>0</v>
      </c>
      <c r="T66" s="24">
        <f t="shared" si="71"/>
        <v>0</v>
      </c>
      <c r="U66" s="24">
        <f t="shared" si="72"/>
        <v>0</v>
      </c>
      <c r="V66" s="24">
        <f t="shared" si="73"/>
        <v>0</v>
      </c>
      <c r="W66" s="24">
        <f t="shared" si="74"/>
        <v>0</v>
      </c>
      <c r="X66" s="24">
        <f t="shared" si="75"/>
        <v>0</v>
      </c>
      <c r="Y66" s="24">
        <f t="shared" si="76"/>
        <v>0</v>
      </c>
      <c r="Z66" s="24">
        <f t="shared" si="77"/>
        <v>0</v>
      </c>
      <c r="AA66" s="24"/>
      <c r="AB66" s="24"/>
      <c r="AC66" s="24">
        <f t="shared" si="78"/>
        <v>0</v>
      </c>
      <c r="AD66" s="24"/>
      <c r="AE66" s="24"/>
      <c r="AF66" s="24">
        <f t="shared" si="79"/>
        <v>0</v>
      </c>
      <c r="AG66" s="24"/>
      <c r="AH66" s="24"/>
      <c r="AI66" s="86" t="e">
        <f>(Z66+AF66)/(95/100*#REF!)</f>
        <v>#REF!</v>
      </c>
      <c r="AJ66" s="24">
        <f t="shared" si="80"/>
        <v>0</v>
      </c>
      <c r="AK66" s="24"/>
      <c r="AL66" s="24"/>
      <c r="AM66" s="24">
        <f t="shared" si="81"/>
        <v>63665110.11784</v>
      </c>
      <c r="AN66" s="24">
        <f t="shared" si="82"/>
        <v>53500092.536</v>
      </c>
      <c r="AO66" s="24">
        <f t="shared" si="82"/>
        <v>10165017.58184</v>
      </c>
      <c r="AP66" s="24">
        <f t="shared" si="83"/>
        <v>3350795.2693600007</v>
      </c>
      <c r="AQ66" s="24">
        <f t="shared" si="84"/>
        <v>2815794.3440000005</v>
      </c>
      <c r="AR66" s="24">
        <f t="shared" si="84"/>
        <v>535000.9253600001</v>
      </c>
      <c r="AS66" s="24">
        <f t="shared" si="85"/>
        <v>67015905.3872</v>
      </c>
      <c r="AT66" s="24">
        <f t="shared" si="86"/>
        <v>1048113.6928000003</v>
      </c>
    </row>
    <row r="67" spans="1:46" ht="33.75">
      <c r="A67" s="82">
        <v>4.4</v>
      </c>
      <c r="B67" s="41" t="s">
        <v>89</v>
      </c>
      <c r="C67" s="24">
        <f t="shared" si="62"/>
        <v>0</v>
      </c>
      <c r="D67" s="24">
        <f>0*0.95</f>
        <v>0</v>
      </c>
      <c r="E67" s="24">
        <f>0*0.95</f>
        <v>0</v>
      </c>
      <c r="F67" s="24">
        <f t="shared" si="63"/>
        <v>0</v>
      </c>
      <c r="G67" s="24">
        <f>0*0.05</f>
        <v>0</v>
      </c>
      <c r="H67" s="24">
        <f>0*0.05</f>
        <v>0</v>
      </c>
      <c r="I67" s="24">
        <f t="shared" si="64"/>
        <v>0</v>
      </c>
      <c r="J67" s="24">
        <f t="shared" si="65"/>
        <v>0</v>
      </c>
      <c r="K67" s="24">
        <f>0</f>
        <v>0</v>
      </c>
      <c r="L67" s="24">
        <f t="shared" si="66"/>
        <v>0</v>
      </c>
      <c r="M67" s="24">
        <f t="shared" si="67"/>
        <v>0</v>
      </c>
      <c r="N67" s="24">
        <f>0</f>
        <v>0</v>
      </c>
      <c r="O67" s="24">
        <f t="shared" si="68"/>
        <v>0</v>
      </c>
      <c r="P67" s="24">
        <f t="shared" si="69"/>
        <v>0</v>
      </c>
      <c r="Q67" s="24"/>
      <c r="R67" s="24"/>
      <c r="S67" s="24">
        <f t="shared" si="70"/>
        <v>0</v>
      </c>
      <c r="T67" s="24">
        <f t="shared" si="71"/>
        <v>0</v>
      </c>
      <c r="U67" s="24">
        <f t="shared" si="72"/>
        <v>0</v>
      </c>
      <c r="V67" s="24">
        <f t="shared" si="73"/>
        <v>0</v>
      </c>
      <c r="W67" s="24">
        <f t="shared" si="74"/>
        <v>0</v>
      </c>
      <c r="X67" s="24">
        <f t="shared" si="75"/>
        <v>0</v>
      </c>
      <c r="Y67" s="24">
        <f t="shared" si="76"/>
        <v>0</v>
      </c>
      <c r="Z67" s="24">
        <f t="shared" si="77"/>
        <v>0</v>
      </c>
      <c r="AA67" s="24"/>
      <c r="AB67" s="24"/>
      <c r="AC67" s="24">
        <f t="shared" si="78"/>
        <v>0</v>
      </c>
      <c r="AD67" s="24"/>
      <c r="AE67" s="24"/>
      <c r="AF67" s="24">
        <f t="shared" si="79"/>
        <v>0</v>
      </c>
      <c r="AG67" s="24"/>
      <c r="AH67" s="24"/>
      <c r="AI67" s="86" t="e">
        <f>(Z67+AF67)/(95/100*#REF!)</f>
        <v>#REF!</v>
      </c>
      <c r="AJ67" s="24">
        <f t="shared" si="80"/>
        <v>0</v>
      </c>
      <c r="AK67" s="24"/>
      <c r="AL67" s="24"/>
      <c r="AM67" s="24">
        <f t="shared" si="81"/>
        <v>0</v>
      </c>
      <c r="AN67" s="24">
        <f t="shared" si="82"/>
        <v>0</v>
      </c>
      <c r="AO67" s="24">
        <f t="shared" si="82"/>
        <v>0</v>
      </c>
      <c r="AP67" s="24">
        <f t="shared" si="83"/>
        <v>0</v>
      </c>
      <c r="AQ67" s="24">
        <f t="shared" si="84"/>
        <v>0</v>
      </c>
      <c r="AR67" s="24">
        <f t="shared" si="84"/>
        <v>0</v>
      </c>
      <c r="AS67" s="24">
        <f t="shared" si="85"/>
        <v>0</v>
      </c>
      <c r="AT67" s="24">
        <f t="shared" si="86"/>
        <v>0</v>
      </c>
    </row>
    <row r="68" spans="1:46" ht="15">
      <c r="A68" s="82">
        <v>4.5</v>
      </c>
      <c r="B68" s="41" t="s">
        <v>21</v>
      </c>
      <c r="C68" s="24">
        <f t="shared" si="62"/>
        <v>99868387.61999999</v>
      </c>
      <c r="D68" s="24">
        <f>83923014.81*0.95</f>
        <v>79726864.0695</v>
      </c>
      <c r="E68" s="24">
        <f>15945372.81*0.95</f>
        <v>15148104.169499999</v>
      </c>
      <c r="F68" s="24">
        <f t="shared" si="63"/>
        <v>94874968.239</v>
      </c>
      <c r="G68" s="24">
        <f>83923014.81*0.05</f>
        <v>4196150.7405</v>
      </c>
      <c r="H68" s="24">
        <f>15945372.81*0.05</f>
        <v>797268.6405000001</v>
      </c>
      <c r="I68" s="24">
        <f t="shared" si="64"/>
        <v>4993419.381</v>
      </c>
      <c r="J68" s="24">
        <f t="shared" si="65"/>
        <v>100296211.34259999</v>
      </c>
      <c r="K68" s="24">
        <f>84282530.54*0.95</f>
        <v>80068404.013</v>
      </c>
      <c r="L68" s="24">
        <f t="shared" si="66"/>
        <v>15212996.76247</v>
      </c>
      <c r="M68" s="24">
        <f t="shared" si="67"/>
        <v>95281400.77546999</v>
      </c>
      <c r="N68" s="24">
        <f>84282530.54*0.05</f>
        <v>4214126.527000001</v>
      </c>
      <c r="O68" s="24">
        <f t="shared" si="68"/>
        <v>800684.0401300001</v>
      </c>
      <c r="P68" s="24">
        <f t="shared" si="69"/>
        <v>5014810.567130001</v>
      </c>
      <c r="Q68" s="24"/>
      <c r="R68" s="24"/>
      <c r="S68" s="24">
        <f t="shared" si="70"/>
        <v>0</v>
      </c>
      <c r="T68" s="24">
        <f t="shared" si="71"/>
        <v>0</v>
      </c>
      <c r="U68" s="24">
        <f t="shared" si="72"/>
        <v>0</v>
      </c>
      <c r="V68" s="24">
        <f t="shared" si="73"/>
        <v>0</v>
      </c>
      <c r="W68" s="24">
        <f t="shared" si="74"/>
        <v>0</v>
      </c>
      <c r="X68" s="24">
        <f t="shared" si="75"/>
        <v>0</v>
      </c>
      <c r="Y68" s="24">
        <f t="shared" si="76"/>
        <v>0</v>
      </c>
      <c r="Z68" s="24">
        <f t="shared" si="77"/>
        <v>0</v>
      </c>
      <c r="AA68" s="24"/>
      <c r="AB68" s="24"/>
      <c r="AC68" s="24">
        <f t="shared" si="78"/>
        <v>0</v>
      </c>
      <c r="AD68" s="24"/>
      <c r="AE68" s="24"/>
      <c r="AF68" s="24">
        <f t="shared" si="79"/>
        <v>0</v>
      </c>
      <c r="AG68" s="24"/>
      <c r="AH68" s="24"/>
      <c r="AI68" s="86" t="e">
        <f>(Z68+AF68)/(95/100*#REF!)</f>
        <v>#REF!</v>
      </c>
      <c r="AJ68" s="24">
        <f t="shared" si="80"/>
        <v>0</v>
      </c>
      <c r="AK68" s="24"/>
      <c r="AL68" s="24"/>
      <c r="AM68" s="24">
        <f t="shared" si="81"/>
        <v>95281400.77546999</v>
      </c>
      <c r="AN68" s="24">
        <f t="shared" si="82"/>
        <v>80068404.013</v>
      </c>
      <c r="AO68" s="24">
        <f t="shared" si="82"/>
        <v>15212996.76247</v>
      </c>
      <c r="AP68" s="24">
        <f t="shared" si="83"/>
        <v>5014810.567130001</v>
      </c>
      <c r="AQ68" s="24">
        <f t="shared" si="84"/>
        <v>4214126.527000001</v>
      </c>
      <c r="AR68" s="24">
        <f t="shared" si="84"/>
        <v>800684.0401300001</v>
      </c>
      <c r="AS68" s="24">
        <f t="shared" si="85"/>
        <v>100296211.34259999</v>
      </c>
      <c r="AT68" s="24">
        <f t="shared" si="86"/>
        <v>-427823.7225999981</v>
      </c>
    </row>
    <row r="69" spans="1:46" ht="15">
      <c r="A69" s="82">
        <v>4.6</v>
      </c>
      <c r="B69" s="41" t="s">
        <v>22</v>
      </c>
      <c r="C69" s="24">
        <f t="shared" si="62"/>
        <v>18856981.569999997</v>
      </c>
      <c r="D69" s="24">
        <f>15846203*0.95</f>
        <v>15053892.85</v>
      </c>
      <c r="E69" s="24">
        <f>3010778.57*0.95</f>
        <v>2860239.6415</v>
      </c>
      <c r="F69" s="24">
        <f t="shared" si="63"/>
        <v>17914132.491499998</v>
      </c>
      <c r="G69" s="24">
        <f>15846203*0.05</f>
        <v>792310.15</v>
      </c>
      <c r="H69" s="24">
        <f>3010778.57*0.05</f>
        <v>150538.9285</v>
      </c>
      <c r="I69" s="24">
        <f t="shared" si="64"/>
        <v>942849.0785000001</v>
      </c>
      <c r="J69" s="24">
        <f t="shared" si="65"/>
        <v>18856981.569999997</v>
      </c>
      <c r="K69" s="24">
        <f>15846203*0.95</f>
        <v>15053892.85</v>
      </c>
      <c r="L69" s="24">
        <f t="shared" si="66"/>
        <v>2860239.6415</v>
      </c>
      <c r="M69" s="24">
        <f t="shared" si="67"/>
        <v>17914132.491499998</v>
      </c>
      <c r="N69" s="24">
        <f>15846203*0.05</f>
        <v>792310.15</v>
      </c>
      <c r="O69" s="24">
        <f t="shared" si="68"/>
        <v>150538.9285</v>
      </c>
      <c r="P69" s="24">
        <f t="shared" si="69"/>
        <v>942849.0785000001</v>
      </c>
      <c r="Q69" s="24"/>
      <c r="R69" s="24"/>
      <c r="S69" s="24">
        <f t="shared" si="70"/>
        <v>0</v>
      </c>
      <c r="T69" s="24">
        <f t="shared" si="71"/>
        <v>0</v>
      </c>
      <c r="U69" s="24">
        <f t="shared" si="72"/>
        <v>0</v>
      </c>
      <c r="V69" s="24">
        <f t="shared" si="73"/>
        <v>0</v>
      </c>
      <c r="W69" s="24">
        <f t="shared" si="74"/>
        <v>0</v>
      </c>
      <c r="X69" s="24">
        <f t="shared" si="75"/>
        <v>0</v>
      </c>
      <c r="Y69" s="24">
        <f t="shared" si="76"/>
        <v>0</v>
      </c>
      <c r="Z69" s="24">
        <f t="shared" si="77"/>
        <v>0</v>
      </c>
      <c r="AA69" s="24"/>
      <c r="AB69" s="24"/>
      <c r="AC69" s="24">
        <f t="shared" si="78"/>
        <v>0</v>
      </c>
      <c r="AD69" s="24"/>
      <c r="AE69" s="24"/>
      <c r="AF69" s="24">
        <f t="shared" si="79"/>
        <v>0</v>
      </c>
      <c r="AG69" s="24"/>
      <c r="AH69" s="24"/>
      <c r="AI69" s="86" t="e">
        <f>(Z69+AF69)/(95/100*#REF!)</f>
        <v>#REF!</v>
      </c>
      <c r="AJ69" s="24">
        <f t="shared" si="80"/>
        <v>0</v>
      </c>
      <c r="AK69" s="24"/>
      <c r="AL69" s="24"/>
      <c r="AM69" s="24">
        <f t="shared" si="81"/>
        <v>17914132.491499998</v>
      </c>
      <c r="AN69" s="24">
        <f t="shared" si="82"/>
        <v>15053892.85</v>
      </c>
      <c r="AO69" s="24">
        <f t="shared" si="82"/>
        <v>2860239.6415</v>
      </c>
      <c r="AP69" s="24">
        <f t="shared" si="83"/>
        <v>942849.0785000001</v>
      </c>
      <c r="AQ69" s="24">
        <f t="shared" si="84"/>
        <v>792310.15</v>
      </c>
      <c r="AR69" s="24">
        <f t="shared" si="84"/>
        <v>150538.9285</v>
      </c>
      <c r="AS69" s="24">
        <f t="shared" si="85"/>
        <v>18856981.569999997</v>
      </c>
      <c r="AT69" s="24">
        <f t="shared" si="86"/>
        <v>0</v>
      </c>
    </row>
    <row r="70" spans="1:46" ht="15">
      <c r="A70" s="127" t="s">
        <v>23</v>
      </c>
      <c r="B70" s="127"/>
      <c r="C70" s="19">
        <f>SUM(C64:C69)</f>
        <v>420533747.99</v>
      </c>
      <c r="D70" s="19">
        <f>SUM(D64:D69)</f>
        <v>335720218.99</v>
      </c>
      <c r="E70" s="19">
        <f>SUM(E64:E69)</f>
        <v>63786841.6005</v>
      </c>
      <c r="F70" s="19">
        <f>SUM(F64:F69)</f>
        <v>399507060.5905</v>
      </c>
      <c r="G70" s="19">
        <f>SUM(G64:G69)</f>
        <v>17669485.21</v>
      </c>
      <c r="H70" s="19">
        <f>SUM(H64:H69)</f>
        <v>3357202.1895000003</v>
      </c>
      <c r="I70" s="19">
        <f>SUM(I64:I69)</f>
        <v>21026687.3995</v>
      </c>
      <c r="J70" s="19">
        <f>SUM(J64:J69)</f>
        <v>442372708.1802</v>
      </c>
      <c r="K70" s="19">
        <f>SUM(K64:K69)</f>
        <v>353154683.00100005</v>
      </c>
      <c r="L70" s="19">
        <f>SUM(L64:L69)</f>
        <v>67099389.77019</v>
      </c>
      <c r="M70" s="19">
        <f>SUM(M64:M69)</f>
        <v>420254072.77119005</v>
      </c>
      <c r="N70" s="19">
        <f>SUM(N64:N69)</f>
        <v>18587088.579000004</v>
      </c>
      <c r="O70" s="19">
        <f>SUM(O64:O69)</f>
        <v>3531546.8300100006</v>
      </c>
      <c r="P70" s="19">
        <f>SUM(P64:P69)</f>
        <v>22118635.409010004</v>
      </c>
      <c r="Q70" s="19"/>
      <c r="R70" s="19"/>
      <c r="S70" s="19">
        <f aca="true" t="shared" si="87" ref="S70:Y70">SUM(S64:S69)</f>
        <v>0</v>
      </c>
      <c r="T70" s="19">
        <f t="shared" si="87"/>
        <v>0</v>
      </c>
      <c r="U70" s="19">
        <f t="shared" si="87"/>
        <v>0</v>
      </c>
      <c r="V70" s="19">
        <f t="shared" si="87"/>
        <v>0</v>
      </c>
      <c r="W70" s="19">
        <f t="shared" si="87"/>
        <v>0</v>
      </c>
      <c r="X70" s="19">
        <f t="shared" si="87"/>
        <v>0</v>
      </c>
      <c r="Y70" s="19">
        <f t="shared" si="87"/>
        <v>0</v>
      </c>
      <c r="Z70" s="19">
        <f>SUM(Z64:Z69)</f>
        <v>0</v>
      </c>
      <c r="AA70" s="19"/>
      <c r="AB70" s="19"/>
      <c r="AC70" s="19">
        <f>SUM(AC64:AC69)</f>
        <v>0</v>
      </c>
      <c r="AD70" s="19"/>
      <c r="AE70" s="19"/>
      <c r="AF70" s="19">
        <f>SUM(AF64:AF69)</f>
        <v>0</v>
      </c>
      <c r="AG70" s="19"/>
      <c r="AH70" s="19"/>
      <c r="AI70" s="90" t="e">
        <f>(Z70+AF70)/(95/100*#REF!)</f>
        <v>#REF!</v>
      </c>
      <c r="AJ70" s="19">
        <f>SUM(AJ64:AJ69)</f>
        <v>0</v>
      </c>
      <c r="AK70" s="19"/>
      <c r="AL70" s="19"/>
      <c r="AM70" s="19">
        <f>SUM(AM64:AM69)</f>
        <v>420254072.77119005</v>
      </c>
      <c r="AN70" s="19">
        <f t="shared" si="82"/>
        <v>353154683.00100005</v>
      </c>
      <c r="AO70" s="19">
        <f t="shared" si="82"/>
        <v>67099389.77019</v>
      </c>
      <c r="AP70" s="19">
        <f>SUM(AP64:AP69)</f>
        <v>22118635.409010004</v>
      </c>
      <c r="AQ70" s="19">
        <f>SUM(AQ64:AQ69)</f>
        <v>18587088.579000004</v>
      </c>
      <c r="AR70" s="19">
        <f>SUM(AR64:AR69)</f>
        <v>3531546.8300100006</v>
      </c>
      <c r="AS70" s="19">
        <f>SUM(AS64:AS69)</f>
        <v>442372708.1802</v>
      </c>
      <c r="AT70" s="19">
        <f>SUM(AT64:AT69)</f>
        <v>-21838960.190200016</v>
      </c>
    </row>
    <row r="71" spans="1:46" ht="15">
      <c r="A71" s="163"/>
      <c r="B71" s="163"/>
      <c r="C71" s="40"/>
      <c r="D71" s="31"/>
      <c r="E71" s="31"/>
      <c r="F71" s="32"/>
      <c r="G71" s="31"/>
      <c r="H71" s="31"/>
      <c r="I71" s="32"/>
      <c r="J71" s="32"/>
      <c r="K71" s="31"/>
      <c r="L71" s="31"/>
      <c r="M71" s="31"/>
      <c r="N71" s="31"/>
      <c r="O71" s="31"/>
      <c r="P71" s="31"/>
      <c r="Q71" s="31"/>
      <c r="R71" s="31"/>
      <c r="S71" s="32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3"/>
      <c r="AG71" s="103"/>
      <c r="AH71" s="103"/>
      <c r="AI71" s="89"/>
      <c r="AJ71" s="103"/>
      <c r="AK71" s="103"/>
      <c r="AL71" s="103"/>
      <c r="AM71" s="103"/>
      <c r="AN71" s="103"/>
      <c r="AO71" s="103"/>
      <c r="AP71" s="103"/>
      <c r="AQ71" s="103"/>
      <c r="AR71" s="103"/>
      <c r="AS71" s="104"/>
      <c r="AT71" s="105"/>
    </row>
    <row r="72" spans="1:46" ht="21" customHeight="1">
      <c r="A72" s="127" t="s">
        <v>24</v>
      </c>
      <c r="B72" s="127"/>
      <c r="C72" s="19"/>
      <c r="D72" s="20"/>
      <c r="E72" s="20"/>
      <c r="F72" s="21"/>
      <c r="G72" s="20"/>
      <c r="H72" s="20"/>
      <c r="I72" s="21"/>
      <c r="J72" s="21"/>
      <c r="K72" s="20"/>
      <c r="L72" s="20"/>
      <c r="M72" s="20"/>
      <c r="N72" s="20"/>
      <c r="O72" s="20"/>
      <c r="P72" s="20"/>
      <c r="Q72" s="20"/>
      <c r="R72" s="20"/>
      <c r="S72" s="21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2"/>
      <c r="AG72" s="98"/>
      <c r="AH72" s="98"/>
      <c r="AI72" s="88"/>
      <c r="AJ72" s="98"/>
      <c r="AK72" s="98"/>
      <c r="AL72" s="98"/>
      <c r="AM72" s="98"/>
      <c r="AN72" s="98"/>
      <c r="AO72" s="98"/>
      <c r="AP72" s="98"/>
      <c r="AQ72" s="98"/>
      <c r="AR72" s="98"/>
      <c r="AS72" s="99"/>
      <c r="AT72" s="100"/>
    </row>
    <row r="73" spans="1:46" ht="15">
      <c r="A73" s="82">
        <v>5.1</v>
      </c>
      <c r="B73" s="41" t="s">
        <v>25</v>
      </c>
      <c r="C73" s="42">
        <f>SUM(C74:C75)</f>
        <v>3641284.38</v>
      </c>
      <c r="D73" s="42">
        <f>SUM(D74:D75)</f>
        <v>2906907.698</v>
      </c>
      <c r="E73" s="42">
        <f>SUM(E74:E75)</f>
        <v>552312.463</v>
      </c>
      <c r="F73" s="42">
        <f>SUM(F74:F75)</f>
        <v>3459220.1610000003</v>
      </c>
      <c r="G73" s="42">
        <f>SUM(G74:G75)</f>
        <v>152995.142</v>
      </c>
      <c r="H73" s="42">
        <f>SUM(H74:H75)</f>
        <v>29069.077000000005</v>
      </c>
      <c r="I73" s="42">
        <f>SUM(I74:I75)</f>
        <v>182064.219</v>
      </c>
      <c r="J73" s="42">
        <f>SUM(J74:J75)</f>
        <v>1190173.6328999999</v>
      </c>
      <c r="K73" s="42">
        <f>K74+K75</f>
        <v>950138.6144999999</v>
      </c>
      <c r="L73" s="42">
        <f>L74+L75</f>
        <v>180526.336755</v>
      </c>
      <c r="M73" s="42">
        <f>SUM(M74:M75)</f>
        <v>1130664.9512549997</v>
      </c>
      <c r="N73" s="42">
        <f>N74+N75</f>
        <v>50007.2955</v>
      </c>
      <c r="O73" s="42">
        <f>O74+O75</f>
        <v>9501.386145</v>
      </c>
      <c r="P73" s="42">
        <f>SUM(P74:P75)</f>
        <v>59508.681645000004</v>
      </c>
      <c r="Q73" s="42"/>
      <c r="R73" s="42"/>
      <c r="S73" s="42">
        <f>SUM(S74:S75)</f>
        <v>0</v>
      </c>
      <c r="T73" s="42">
        <f>T74+T75</f>
        <v>0</v>
      </c>
      <c r="U73" s="42">
        <f>U74+U75</f>
        <v>0</v>
      </c>
      <c r="V73" s="42">
        <f>SUM(V74:V75)</f>
        <v>0</v>
      </c>
      <c r="W73" s="42">
        <f>W74+W75</f>
        <v>0</v>
      </c>
      <c r="X73" s="42">
        <f>X74+X75</f>
        <v>0</v>
      </c>
      <c r="Y73" s="42">
        <f>SUM(Y74:Y75)</f>
        <v>0</v>
      </c>
      <c r="Z73" s="42">
        <f>SUM(Z74:Z75)</f>
        <v>0</v>
      </c>
      <c r="AA73" s="42"/>
      <c r="AB73" s="42"/>
      <c r="AC73" s="42">
        <f>SUM(AC74:AC75)</f>
        <v>0</v>
      </c>
      <c r="AD73" s="42"/>
      <c r="AE73" s="42"/>
      <c r="AF73" s="42">
        <f>SUM(AF74:AF75)</f>
        <v>0</v>
      </c>
      <c r="AG73" s="42"/>
      <c r="AH73" s="42"/>
      <c r="AI73" s="92" t="e">
        <f>(Z73+AF73)/(95/100*#REF!)</f>
        <v>#REF!</v>
      </c>
      <c r="AJ73" s="42">
        <f>SUM(AJ74:AJ75)</f>
        <v>0</v>
      </c>
      <c r="AK73" s="42"/>
      <c r="AL73" s="42"/>
      <c r="AM73" s="42">
        <f>SUM(AM74:AM75)</f>
        <v>1130664.9512549997</v>
      </c>
      <c r="AN73" s="42">
        <f aca="true" t="shared" si="88" ref="AN73:AO75">K73-AA73-AG73</f>
        <v>950138.6144999999</v>
      </c>
      <c r="AO73" s="42">
        <f t="shared" si="88"/>
        <v>180526.336755</v>
      </c>
      <c r="AP73" s="42">
        <f>SUM(AP74:AP75)</f>
        <v>59508.681645000004</v>
      </c>
      <c r="AQ73" s="42">
        <f>SUM(AQ74:AQ75)</f>
        <v>50007.2955</v>
      </c>
      <c r="AR73" s="42">
        <f>SUM(AR74:AR75)</f>
        <v>9501.386145</v>
      </c>
      <c r="AS73" s="42">
        <f>SUM(AS74:AS75)</f>
        <v>1190173.6328999999</v>
      </c>
      <c r="AT73" s="42">
        <f>SUM(AT74:AT75)</f>
        <v>2451110.7471000003</v>
      </c>
    </row>
    <row r="74" spans="1:46" ht="22.5">
      <c r="A74" s="38" t="s">
        <v>26</v>
      </c>
      <c r="B74" s="39" t="s">
        <v>90</v>
      </c>
      <c r="C74" s="24">
        <f>F74+I74</f>
        <v>2417795.85</v>
      </c>
      <c r="D74" s="24">
        <f>2031761.22*0.95</f>
        <v>1930173.159</v>
      </c>
      <c r="E74" s="24">
        <f>386034.63*0.95</f>
        <v>366732.8985</v>
      </c>
      <c r="F74" s="24">
        <f>D74+E74</f>
        <v>2296906.0575</v>
      </c>
      <c r="G74" s="24">
        <f>2031761.22*0.05</f>
        <v>101588.061</v>
      </c>
      <c r="H74" s="24">
        <f>386034.63*0.05</f>
        <v>19301.7315</v>
      </c>
      <c r="I74" s="24">
        <f>G74+H74</f>
        <v>120889.79250000001</v>
      </c>
      <c r="J74" s="24">
        <f>M74+P74</f>
        <v>526755.4753999999</v>
      </c>
      <c r="K74" s="24">
        <f>442651.66*0.95</f>
        <v>420519.07699999993</v>
      </c>
      <c r="L74" s="24">
        <f>0.19*K74</f>
        <v>79898.62462999999</v>
      </c>
      <c r="M74" s="24">
        <f>K74+L74</f>
        <v>500417.7016299999</v>
      </c>
      <c r="N74" s="24">
        <f>442651.66*0.05</f>
        <v>22132.583</v>
      </c>
      <c r="O74" s="24">
        <f>0.19*N74</f>
        <v>4205.19077</v>
      </c>
      <c r="P74" s="24">
        <f>N74+O74</f>
        <v>26337.77377</v>
      </c>
      <c r="Q74" s="24"/>
      <c r="R74" s="24"/>
      <c r="S74" s="24">
        <f>V74+Y74</f>
        <v>0</v>
      </c>
      <c r="T74" s="24">
        <f>0*0.95</f>
        <v>0</v>
      </c>
      <c r="U74" s="24">
        <f>0.19*T74</f>
        <v>0</v>
      </c>
      <c r="V74" s="24">
        <f>T74+U74</f>
        <v>0</v>
      </c>
      <c r="W74" s="24">
        <f>0*0.05</f>
        <v>0</v>
      </c>
      <c r="X74" s="24">
        <f>0.19*W74</f>
        <v>0</v>
      </c>
      <c r="Y74" s="24">
        <f>W74+X74</f>
        <v>0</v>
      </c>
      <c r="Z74" s="24">
        <f>AA74+AB74</f>
        <v>0</v>
      </c>
      <c r="AA74" s="24"/>
      <c r="AB74" s="24"/>
      <c r="AC74" s="24">
        <f>AD74+AE74</f>
        <v>0</v>
      </c>
      <c r="AD74" s="24"/>
      <c r="AE74" s="24"/>
      <c r="AF74" s="24">
        <f>AG74+AH74</f>
        <v>0</v>
      </c>
      <c r="AG74" s="24"/>
      <c r="AH74" s="24"/>
      <c r="AI74" s="86" t="e">
        <f>(Z74+AF74)/(95/100*#REF!)</f>
        <v>#REF!</v>
      </c>
      <c r="AJ74" s="24">
        <f>AK74+AL74</f>
        <v>0</v>
      </c>
      <c r="AK74" s="24"/>
      <c r="AL74" s="24"/>
      <c r="AM74" s="24">
        <f>AN74+AO74</f>
        <v>500417.7016299999</v>
      </c>
      <c r="AN74" s="24">
        <f t="shared" si="88"/>
        <v>420519.07699999993</v>
      </c>
      <c r="AO74" s="24">
        <f t="shared" si="88"/>
        <v>79898.62462999999</v>
      </c>
      <c r="AP74" s="24">
        <f>AQ74+AR74</f>
        <v>26337.77377</v>
      </c>
      <c r="AQ74" s="24">
        <f>N74-AD74-AK74</f>
        <v>22132.583</v>
      </c>
      <c r="AR74" s="24">
        <f>O74-AE74-AL74</f>
        <v>4205.19077</v>
      </c>
      <c r="AS74" s="24">
        <f>AM74+AP74</f>
        <v>526755.4753999999</v>
      </c>
      <c r="AT74" s="24">
        <f>C74-J74</f>
        <v>1891040.3746000002</v>
      </c>
    </row>
    <row r="75" spans="1:46" ht="22.5">
      <c r="A75" s="38" t="s">
        <v>27</v>
      </c>
      <c r="B75" s="39" t="s">
        <v>91</v>
      </c>
      <c r="C75" s="24">
        <f>F75+I75</f>
        <v>1223488.53</v>
      </c>
      <c r="D75" s="24">
        <f>1028141.62*0.95</f>
        <v>976734.539</v>
      </c>
      <c r="E75" s="24">
        <f>195346.91*0.95</f>
        <v>185579.5645</v>
      </c>
      <c r="F75" s="24">
        <f>D75+E75</f>
        <v>1162314.1035</v>
      </c>
      <c r="G75" s="24">
        <f>1028141.62*0.05</f>
        <v>51407.081000000006</v>
      </c>
      <c r="H75" s="24">
        <f>195346.91*0.05</f>
        <v>9767.345500000001</v>
      </c>
      <c r="I75" s="24">
        <f>G75+H75</f>
        <v>61174.42650000001</v>
      </c>
      <c r="J75" s="24">
        <f>M75+P75</f>
        <v>663418.1575</v>
      </c>
      <c r="K75" s="24">
        <f>557494.25*0.95</f>
        <v>529619.5375</v>
      </c>
      <c r="L75" s="24">
        <f>0.19*K75</f>
        <v>100627.71212499999</v>
      </c>
      <c r="M75" s="24">
        <f>K75+L75</f>
        <v>630247.2496249999</v>
      </c>
      <c r="N75" s="24">
        <f>557494.25*0.05</f>
        <v>27874.7125</v>
      </c>
      <c r="O75" s="24">
        <f>0.19*N75</f>
        <v>5296.195375</v>
      </c>
      <c r="P75" s="24">
        <f>N75+O75</f>
        <v>33170.907875000004</v>
      </c>
      <c r="Q75" s="24"/>
      <c r="R75" s="24"/>
      <c r="S75" s="24">
        <f>V75+Y75</f>
        <v>0</v>
      </c>
      <c r="T75" s="24">
        <f>0*0.95</f>
        <v>0</v>
      </c>
      <c r="U75" s="24">
        <f>0.19*T75</f>
        <v>0</v>
      </c>
      <c r="V75" s="24">
        <f>T75+U75</f>
        <v>0</v>
      </c>
      <c r="W75" s="24">
        <f>0*0.05</f>
        <v>0</v>
      </c>
      <c r="X75" s="24">
        <f>0.19*W75</f>
        <v>0</v>
      </c>
      <c r="Y75" s="24">
        <f>W75+X75</f>
        <v>0</v>
      </c>
      <c r="Z75" s="24">
        <f>AA75+AB75</f>
        <v>0</v>
      </c>
      <c r="AA75" s="24"/>
      <c r="AB75" s="24"/>
      <c r="AC75" s="24">
        <f>AD75+AE75</f>
        <v>0</v>
      </c>
      <c r="AD75" s="24"/>
      <c r="AE75" s="24"/>
      <c r="AF75" s="24">
        <f>AG75+AH75</f>
        <v>0</v>
      </c>
      <c r="AG75" s="24"/>
      <c r="AH75" s="24"/>
      <c r="AI75" s="86" t="e">
        <f>(Z75+AF75)/(95/100*#REF!)</f>
        <v>#REF!</v>
      </c>
      <c r="AJ75" s="24">
        <f>AK75+AL75</f>
        <v>0</v>
      </c>
      <c r="AK75" s="24"/>
      <c r="AL75" s="24"/>
      <c r="AM75" s="24">
        <f>AN75+AO75</f>
        <v>630247.2496249999</v>
      </c>
      <c r="AN75" s="24">
        <f t="shared" si="88"/>
        <v>529619.5375</v>
      </c>
      <c r="AO75" s="24">
        <f t="shared" si="88"/>
        <v>100627.71212499999</v>
      </c>
      <c r="AP75" s="24">
        <f>AQ75+AR75</f>
        <v>33170.907875000004</v>
      </c>
      <c r="AQ75" s="24">
        <f>N75-AD75-AK75</f>
        <v>27874.7125</v>
      </c>
      <c r="AR75" s="24">
        <f>O75-AE75-AL75</f>
        <v>5296.195375</v>
      </c>
      <c r="AS75" s="24">
        <f>AM75+AP75</f>
        <v>663418.1575</v>
      </c>
      <c r="AT75" s="24">
        <f>C75-J75</f>
        <v>560070.3725</v>
      </c>
    </row>
    <row r="76" spans="1:46" s="78" customFormat="1" ht="22.5">
      <c r="A76" s="65">
        <v>5.2</v>
      </c>
      <c r="B76" s="66" t="s">
        <v>28</v>
      </c>
      <c r="C76" s="67">
        <f aca="true" t="shared" si="89" ref="C76:J76">SUM(C77:C81)</f>
        <v>2281376.8399999994</v>
      </c>
      <c r="D76" s="67">
        <f t="shared" si="89"/>
        <v>2167307.9979999997</v>
      </c>
      <c r="E76" s="67">
        <f t="shared" si="89"/>
        <v>0</v>
      </c>
      <c r="F76" s="67">
        <f t="shared" si="89"/>
        <v>2167307.9979999997</v>
      </c>
      <c r="G76" s="67">
        <f t="shared" si="89"/>
        <v>114068.842</v>
      </c>
      <c r="H76" s="67">
        <f t="shared" si="89"/>
        <v>0</v>
      </c>
      <c r="I76" s="67">
        <f t="shared" si="89"/>
        <v>114068.842</v>
      </c>
      <c r="J76" s="67">
        <f t="shared" si="89"/>
        <v>1767156.4699999997</v>
      </c>
      <c r="K76" s="67">
        <f>SUM(K77:K81)</f>
        <v>1678798.6465</v>
      </c>
      <c r="L76" s="67">
        <f>SUM(L77:L81)</f>
        <v>0</v>
      </c>
      <c r="M76" s="67">
        <f>SUM(M77:M81)</f>
        <v>1678798.6465</v>
      </c>
      <c r="N76" s="67">
        <f>SUM(N77:N81)</f>
        <v>88357.8235</v>
      </c>
      <c r="O76" s="67">
        <f>SUM(O77:O81)</f>
        <v>0</v>
      </c>
      <c r="P76" s="67">
        <f>SUM(P77:P81)</f>
        <v>88357.8235</v>
      </c>
      <c r="Q76" s="67"/>
      <c r="R76" s="67"/>
      <c r="S76" s="67">
        <f>SUM(S77:S81)</f>
        <v>0</v>
      </c>
      <c r="T76" s="67">
        <f aca="true" t="shared" si="90" ref="T76:Y76">SUM(T77:T81)</f>
        <v>0</v>
      </c>
      <c r="U76" s="67">
        <f t="shared" si="90"/>
        <v>0</v>
      </c>
      <c r="V76" s="67">
        <f t="shared" si="90"/>
        <v>0</v>
      </c>
      <c r="W76" s="67">
        <f t="shared" si="90"/>
        <v>0</v>
      </c>
      <c r="X76" s="67">
        <f t="shared" si="90"/>
        <v>0</v>
      </c>
      <c r="Y76" s="67">
        <f t="shared" si="90"/>
        <v>0</v>
      </c>
      <c r="Z76" s="67">
        <f>SUM(Z77:Z81)</f>
        <v>415802.061</v>
      </c>
      <c r="AA76" s="67"/>
      <c r="AB76" s="67"/>
      <c r="AC76" s="67">
        <f>SUM(AC77:AC81)</f>
        <v>21884.319000000003</v>
      </c>
      <c r="AD76" s="67"/>
      <c r="AE76" s="67"/>
      <c r="AF76" s="67">
        <f>SUM(AF77:AF81)</f>
        <v>0</v>
      </c>
      <c r="AG76" s="67">
        <f>SUM(AG77:AG81)</f>
        <v>0</v>
      </c>
      <c r="AH76" s="67">
        <f>SUM(AH77:AH81)</f>
        <v>0</v>
      </c>
      <c r="AI76" s="93" t="e">
        <f>(Z76+AF76)/(95/100*#REF!)</f>
        <v>#REF!</v>
      </c>
      <c r="AJ76" s="67">
        <f>SUM(AJ77:AJ81)</f>
        <v>0</v>
      </c>
      <c r="AK76" s="67">
        <f>SUM(AK77:AK81)</f>
        <v>0</v>
      </c>
      <c r="AL76" s="67">
        <f>SUM(AL77:AL81)</f>
        <v>0</v>
      </c>
      <c r="AM76" s="67">
        <f>SUM(AM77:AM81)</f>
        <v>1262996.5854999998</v>
      </c>
      <c r="AN76" s="67"/>
      <c r="AO76" s="67"/>
      <c r="AP76" s="67">
        <f>SUM(AP77:AP81)</f>
        <v>66473.50450000001</v>
      </c>
      <c r="AQ76" s="67">
        <f>SUM(AQ77:AQ81)</f>
        <v>66473.50450000001</v>
      </c>
      <c r="AR76" s="67">
        <f>SUM(AR77:AR81)</f>
        <v>0</v>
      </c>
      <c r="AS76" s="67">
        <f>SUM(AS77:AS81)</f>
        <v>1329470.0899999999</v>
      </c>
      <c r="AT76" s="67">
        <f>SUM(AT77:AT81)</f>
        <v>514220.3699999998</v>
      </c>
    </row>
    <row r="77" spans="1:46" s="78" customFormat="1" ht="22.5">
      <c r="A77" s="60" t="s">
        <v>29</v>
      </c>
      <c r="B77" s="61" t="s">
        <v>92</v>
      </c>
      <c r="C77" s="62">
        <f aca="true" t="shared" si="91" ref="C77:C82">F77+I77</f>
        <v>0</v>
      </c>
      <c r="D77" s="62">
        <f>0*0.95</f>
        <v>0</v>
      </c>
      <c r="E77" s="62">
        <f>0*0.95</f>
        <v>0</v>
      </c>
      <c r="F77" s="62">
        <f aca="true" t="shared" si="92" ref="F77:F83">D77+E77</f>
        <v>0</v>
      </c>
      <c r="G77" s="62">
        <f>0*0.05</f>
        <v>0</v>
      </c>
      <c r="H77" s="62">
        <f>0*0.05</f>
        <v>0</v>
      </c>
      <c r="I77" s="62">
        <f aca="true" t="shared" si="93" ref="I77:I83">G77+H77</f>
        <v>0</v>
      </c>
      <c r="J77" s="62">
        <f aca="true" t="shared" si="94" ref="J77:J83">M77+P77</f>
        <v>0</v>
      </c>
      <c r="K77" s="62">
        <f>0</f>
        <v>0</v>
      </c>
      <c r="L77" s="62">
        <v>0</v>
      </c>
      <c r="M77" s="62">
        <f aca="true" t="shared" si="95" ref="M77:M83">K77+L77</f>
        <v>0</v>
      </c>
      <c r="N77" s="62">
        <f>0</f>
        <v>0</v>
      </c>
      <c r="O77" s="62">
        <v>0</v>
      </c>
      <c r="P77" s="62">
        <f aca="true" t="shared" si="96" ref="P77:P83">N77+O77</f>
        <v>0</v>
      </c>
      <c r="Q77" s="62"/>
      <c r="R77" s="62"/>
      <c r="S77" s="62">
        <f aca="true" t="shared" si="97" ref="S77:S83">V77+Y77</f>
        <v>0</v>
      </c>
      <c r="T77" s="62">
        <f>0</f>
        <v>0</v>
      </c>
      <c r="U77" s="62">
        <v>0</v>
      </c>
      <c r="V77" s="62">
        <f aca="true" t="shared" si="98" ref="V77:V83">T77+U77</f>
        <v>0</v>
      </c>
      <c r="W77" s="62">
        <f>0</f>
        <v>0</v>
      </c>
      <c r="X77" s="62">
        <v>0</v>
      </c>
      <c r="Y77" s="62">
        <f aca="true" t="shared" si="99" ref="Y77:Y83">W77+X77</f>
        <v>0</v>
      </c>
      <c r="Z77" s="62">
        <f aca="true" t="shared" si="100" ref="Z77:Z83">AA77+AB77</f>
        <v>0</v>
      </c>
      <c r="AA77" s="62"/>
      <c r="AB77" s="62"/>
      <c r="AC77" s="62">
        <f aca="true" t="shared" si="101" ref="AC77:AC83">AD77+AE77</f>
        <v>0</v>
      </c>
      <c r="AD77" s="62"/>
      <c r="AE77" s="62"/>
      <c r="AF77" s="62">
        <f aca="true" t="shared" si="102" ref="AF77:AF83">AG77+AH77</f>
        <v>0</v>
      </c>
      <c r="AG77" s="62"/>
      <c r="AH77" s="62"/>
      <c r="AI77" s="86" t="e">
        <f>(Z77+AF77)/(95/100*#REF!)</f>
        <v>#REF!</v>
      </c>
      <c r="AJ77" s="62">
        <f aca="true" t="shared" si="103" ref="AJ77:AJ83">AK77+AL77</f>
        <v>0</v>
      </c>
      <c r="AK77" s="62"/>
      <c r="AL77" s="62"/>
      <c r="AM77" s="62">
        <f aca="true" t="shared" si="104" ref="AM77:AM83">AN77+AO77</f>
        <v>0</v>
      </c>
      <c r="AN77" s="62"/>
      <c r="AO77" s="62"/>
      <c r="AP77" s="62">
        <f aca="true" t="shared" si="105" ref="AP77:AP83">AQ77+AR77</f>
        <v>0</v>
      </c>
      <c r="AQ77" s="62">
        <f aca="true" t="shared" si="106" ref="AQ77:AR83">N77-AD77-AK77</f>
        <v>0</v>
      </c>
      <c r="AR77" s="62">
        <f t="shared" si="106"/>
        <v>0</v>
      </c>
      <c r="AS77" s="62">
        <f aca="true" t="shared" si="107" ref="AS77:AS83">AM77+AP77</f>
        <v>0</v>
      </c>
      <c r="AT77" s="62">
        <f aca="true" t="shared" si="108" ref="AT77:AT83">C77-J77</f>
        <v>0</v>
      </c>
    </row>
    <row r="78" spans="1:46" s="78" customFormat="1" ht="22.5">
      <c r="A78" s="60" t="s">
        <v>30</v>
      </c>
      <c r="B78" s="61" t="s">
        <v>93</v>
      </c>
      <c r="C78" s="62">
        <f t="shared" si="91"/>
        <v>988067.5099999999</v>
      </c>
      <c r="D78" s="62">
        <f>988067.51*0.95</f>
        <v>938664.1344999999</v>
      </c>
      <c r="E78" s="62">
        <f>0*0.95</f>
        <v>0</v>
      </c>
      <c r="F78" s="62">
        <f t="shared" si="92"/>
        <v>938664.1344999999</v>
      </c>
      <c r="G78" s="62">
        <f>988067.51*0.05</f>
        <v>49403.3755</v>
      </c>
      <c r="H78" s="62">
        <f>0*0.05</f>
        <v>0</v>
      </c>
      <c r="I78" s="62">
        <f t="shared" si="93"/>
        <v>49403.3755</v>
      </c>
      <c r="J78" s="62">
        <f t="shared" si="94"/>
        <v>1085192.15</v>
      </c>
      <c r="K78" s="62">
        <f>1085192.15*0.95</f>
        <v>1030932.5424999999</v>
      </c>
      <c r="L78" s="62">
        <v>0</v>
      </c>
      <c r="M78" s="62">
        <f t="shared" si="95"/>
        <v>1030932.5424999999</v>
      </c>
      <c r="N78" s="62">
        <f>1085192.15*0.05</f>
        <v>54259.6075</v>
      </c>
      <c r="O78" s="62">
        <v>0</v>
      </c>
      <c r="P78" s="62">
        <f t="shared" si="96"/>
        <v>54259.6075</v>
      </c>
      <c r="Q78" s="62"/>
      <c r="R78" s="62"/>
      <c r="S78" s="62">
        <f t="shared" si="97"/>
        <v>0</v>
      </c>
      <c r="T78" s="62">
        <f aca="true" t="shared" si="109" ref="T78:T83">0*0.95</f>
        <v>0</v>
      </c>
      <c r="U78" s="62">
        <v>0</v>
      </c>
      <c r="V78" s="62">
        <f t="shared" si="98"/>
        <v>0</v>
      </c>
      <c r="W78" s="62">
        <f>0</f>
        <v>0</v>
      </c>
      <c r="X78" s="62">
        <v>0</v>
      </c>
      <c r="Y78" s="62">
        <f t="shared" si="99"/>
        <v>0</v>
      </c>
      <c r="Z78" s="62">
        <f t="shared" si="100"/>
        <v>297001.47349999996</v>
      </c>
      <c r="AA78" s="62">
        <f>312633.13*0.95</f>
        <v>297001.47349999996</v>
      </c>
      <c r="AB78" s="62">
        <v>0</v>
      </c>
      <c r="AC78" s="62">
        <f t="shared" si="101"/>
        <v>15631.656500000001</v>
      </c>
      <c r="AD78" s="62">
        <f>312633.13*0.05</f>
        <v>15631.656500000001</v>
      </c>
      <c r="AE78" s="62">
        <v>0</v>
      </c>
      <c r="AF78" s="62">
        <f t="shared" si="102"/>
        <v>0</v>
      </c>
      <c r="AG78" s="62"/>
      <c r="AH78" s="62"/>
      <c r="AI78" s="86" t="e">
        <f>(Z78+AF78)/(95/100*#REF!)</f>
        <v>#REF!</v>
      </c>
      <c r="AJ78" s="62">
        <f t="shared" si="103"/>
        <v>0</v>
      </c>
      <c r="AK78" s="62"/>
      <c r="AL78" s="62"/>
      <c r="AM78" s="62">
        <f t="shared" si="104"/>
        <v>733931.0689999999</v>
      </c>
      <c r="AN78" s="62">
        <f aca="true" t="shared" si="110" ref="AN78:AO84">K78-AA78-AG78</f>
        <v>733931.0689999999</v>
      </c>
      <c r="AO78" s="62">
        <f t="shared" si="110"/>
        <v>0</v>
      </c>
      <c r="AP78" s="62">
        <f t="shared" si="105"/>
        <v>38627.951</v>
      </c>
      <c r="AQ78" s="62">
        <f t="shared" si="106"/>
        <v>38627.951</v>
      </c>
      <c r="AR78" s="62">
        <f t="shared" si="106"/>
        <v>0</v>
      </c>
      <c r="AS78" s="62">
        <f t="shared" si="107"/>
        <v>772559.0199999999</v>
      </c>
      <c r="AT78" s="62">
        <f t="shared" si="108"/>
        <v>-97124.64000000001</v>
      </c>
    </row>
    <row r="79" spans="1:46" s="78" customFormat="1" ht="45">
      <c r="A79" s="60" t="s">
        <v>31</v>
      </c>
      <c r="B79" s="61" t="s">
        <v>94</v>
      </c>
      <c r="C79" s="62">
        <f t="shared" si="91"/>
        <v>197613.49999999997</v>
      </c>
      <c r="D79" s="62">
        <f>197613.5*0.95</f>
        <v>187732.82499999998</v>
      </c>
      <c r="E79" s="62">
        <f>0*0.95</f>
        <v>0</v>
      </c>
      <c r="F79" s="62">
        <f t="shared" si="92"/>
        <v>187732.82499999998</v>
      </c>
      <c r="G79" s="62">
        <f>197613.5*0.05</f>
        <v>9880.675000000001</v>
      </c>
      <c r="H79" s="62">
        <f>0*0.05</f>
        <v>0</v>
      </c>
      <c r="I79" s="62">
        <f t="shared" si="93"/>
        <v>9880.675000000001</v>
      </c>
      <c r="J79" s="62">
        <f t="shared" si="94"/>
        <v>217038.43</v>
      </c>
      <c r="K79" s="62">
        <f>217038.43*0.95</f>
        <v>206186.5085</v>
      </c>
      <c r="L79" s="62">
        <v>0</v>
      </c>
      <c r="M79" s="62">
        <f t="shared" si="95"/>
        <v>206186.5085</v>
      </c>
      <c r="N79" s="62">
        <f>217038.43*0.05</f>
        <v>10851.9215</v>
      </c>
      <c r="O79" s="62">
        <v>0</v>
      </c>
      <c r="P79" s="62">
        <f t="shared" si="96"/>
        <v>10851.9215</v>
      </c>
      <c r="Q79" s="62"/>
      <c r="R79" s="62"/>
      <c r="S79" s="62">
        <f t="shared" si="97"/>
        <v>0</v>
      </c>
      <c r="T79" s="62">
        <f t="shared" si="109"/>
        <v>0</v>
      </c>
      <c r="U79" s="62">
        <v>0</v>
      </c>
      <c r="V79" s="62">
        <f t="shared" si="98"/>
        <v>0</v>
      </c>
      <c r="W79" s="62">
        <f>0</f>
        <v>0</v>
      </c>
      <c r="X79" s="62">
        <v>0</v>
      </c>
      <c r="Y79" s="62">
        <f t="shared" si="99"/>
        <v>0</v>
      </c>
      <c r="Z79" s="62">
        <f t="shared" si="100"/>
        <v>118800.5875</v>
      </c>
      <c r="AA79" s="62">
        <f>125053.25*0.95</f>
        <v>118800.5875</v>
      </c>
      <c r="AB79" s="62">
        <v>0</v>
      </c>
      <c r="AC79" s="62">
        <f t="shared" si="101"/>
        <v>6252.6625</v>
      </c>
      <c r="AD79" s="62">
        <f>125053.25*0.05</f>
        <v>6252.6625</v>
      </c>
      <c r="AE79" s="62">
        <v>0</v>
      </c>
      <c r="AF79" s="62">
        <f t="shared" si="102"/>
        <v>0</v>
      </c>
      <c r="AG79" s="62"/>
      <c r="AH79" s="62"/>
      <c r="AI79" s="86" t="e">
        <f>(Z79+AF79)/(95/100*#REF!)</f>
        <v>#REF!</v>
      </c>
      <c r="AJ79" s="62">
        <f t="shared" si="103"/>
        <v>0</v>
      </c>
      <c r="AK79" s="62"/>
      <c r="AL79" s="62"/>
      <c r="AM79" s="62">
        <f t="shared" si="104"/>
        <v>87385.921</v>
      </c>
      <c r="AN79" s="62">
        <f t="shared" si="110"/>
        <v>87385.921</v>
      </c>
      <c r="AO79" s="62">
        <f t="shared" si="110"/>
        <v>0</v>
      </c>
      <c r="AP79" s="62">
        <f t="shared" si="105"/>
        <v>4599.259</v>
      </c>
      <c r="AQ79" s="62">
        <f t="shared" si="106"/>
        <v>4599.259</v>
      </c>
      <c r="AR79" s="62">
        <f t="shared" si="106"/>
        <v>0</v>
      </c>
      <c r="AS79" s="62">
        <f t="shared" si="107"/>
        <v>91985.18000000001</v>
      </c>
      <c r="AT79" s="62">
        <f t="shared" si="108"/>
        <v>-19424.930000000022</v>
      </c>
    </row>
    <row r="80" spans="1:46" s="78" customFormat="1" ht="22.5">
      <c r="A80" s="60" t="s">
        <v>95</v>
      </c>
      <c r="B80" s="61" t="s">
        <v>96</v>
      </c>
      <c r="C80" s="62">
        <f t="shared" si="91"/>
        <v>988067.5099999999</v>
      </c>
      <c r="D80" s="62">
        <f>988067.51*0.95</f>
        <v>938664.1344999999</v>
      </c>
      <c r="E80" s="62">
        <f>0*0.95</f>
        <v>0</v>
      </c>
      <c r="F80" s="62">
        <f t="shared" si="92"/>
        <v>938664.1344999999</v>
      </c>
      <c r="G80" s="62">
        <f>988067.51*0.05</f>
        <v>49403.3755</v>
      </c>
      <c r="H80" s="62">
        <f>0*0.05</f>
        <v>0</v>
      </c>
      <c r="I80" s="62">
        <f t="shared" si="93"/>
        <v>49403.3755</v>
      </c>
      <c r="J80" s="62">
        <f t="shared" si="94"/>
        <v>459925.89</v>
      </c>
      <c r="K80" s="62">
        <f>459925.89*0.95</f>
        <v>436929.5955</v>
      </c>
      <c r="L80" s="62">
        <v>0</v>
      </c>
      <c r="M80" s="62">
        <f t="shared" si="95"/>
        <v>436929.5955</v>
      </c>
      <c r="N80" s="62">
        <f>459925.89*0.05</f>
        <v>22996.294500000004</v>
      </c>
      <c r="O80" s="62">
        <v>0</v>
      </c>
      <c r="P80" s="62">
        <f t="shared" si="96"/>
        <v>22996.294500000004</v>
      </c>
      <c r="Q80" s="62"/>
      <c r="R80" s="62"/>
      <c r="S80" s="62">
        <f t="shared" si="97"/>
        <v>0</v>
      </c>
      <c r="T80" s="62">
        <f t="shared" si="109"/>
        <v>0</v>
      </c>
      <c r="U80" s="62">
        <v>0</v>
      </c>
      <c r="V80" s="62">
        <f t="shared" si="98"/>
        <v>0</v>
      </c>
      <c r="W80" s="62">
        <f>0</f>
        <v>0</v>
      </c>
      <c r="X80" s="62">
        <v>0</v>
      </c>
      <c r="Y80" s="62">
        <f t="shared" si="99"/>
        <v>0</v>
      </c>
      <c r="Z80" s="62">
        <f t="shared" si="100"/>
        <v>0</v>
      </c>
      <c r="AA80" s="62"/>
      <c r="AB80" s="62"/>
      <c r="AC80" s="62">
        <f t="shared" si="101"/>
        <v>0</v>
      </c>
      <c r="AD80" s="62"/>
      <c r="AE80" s="62"/>
      <c r="AF80" s="62">
        <f t="shared" si="102"/>
        <v>0</v>
      </c>
      <c r="AG80" s="62"/>
      <c r="AH80" s="62"/>
      <c r="AI80" s="86" t="e">
        <f>(Z80+AF80)/(95/100*#REF!)</f>
        <v>#REF!</v>
      </c>
      <c r="AJ80" s="62">
        <f t="shared" si="103"/>
        <v>0</v>
      </c>
      <c r="AK80" s="62"/>
      <c r="AL80" s="62"/>
      <c r="AM80" s="62">
        <f t="shared" si="104"/>
        <v>436929.5955</v>
      </c>
      <c r="AN80" s="62">
        <f t="shared" si="110"/>
        <v>436929.5955</v>
      </c>
      <c r="AO80" s="62">
        <f t="shared" si="110"/>
        <v>0</v>
      </c>
      <c r="AP80" s="62">
        <f t="shared" si="105"/>
        <v>22996.294500000004</v>
      </c>
      <c r="AQ80" s="62">
        <f t="shared" si="106"/>
        <v>22996.294500000004</v>
      </c>
      <c r="AR80" s="62">
        <f t="shared" si="106"/>
        <v>0</v>
      </c>
      <c r="AS80" s="62">
        <f t="shared" si="107"/>
        <v>459925.89</v>
      </c>
      <c r="AT80" s="62">
        <f t="shared" si="108"/>
        <v>528141.6199999999</v>
      </c>
    </row>
    <row r="81" spans="1:46" s="78" customFormat="1" ht="22.5">
      <c r="A81" s="60" t="s">
        <v>32</v>
      </c>
      <c r="B81" s="61" t="s">
        <v>97</v>
      </c>
      <c r="C81" s="62">
        <f t="shared" si="91"/>
        <v>107628.31999999999</v>
      </c>
      <c r="D81" s="62">
        <f>107628.32*0.95</f>
        <v>102246.904</v>
      </c>
      <c r="E81" s="62">
        <f>0*0.95</f>
        <v>0</v>
      </c>
      <c r="F81" s="62">
        <f t="shared" si="92"/>
        <v>102246.904</v>
      </c>
      <c r="G81" s="62">
        <f>107628.32*0.05</f>
        <v>5381.416000000001</v>
      </c>
      <c r="H81" s="62">
        <f>0*0.05</f>
        <v>0</v>
      </c>
      <c r="I81" s="62">
        <f t="shared" si="93"/>
        <v>5381.416000000001</v>
      </c>
      <c r="J81" s="62">
        <f t="shared" si="94"/>
        <v>5000</v>
      </c>
      <c r="K81" s="62">
        <f>5000*0.95</f>
        <v>4750</v>
      </c>
      <c r="L81" s="62">
        <v>0</v>
      </c>
      <c r="M81" s="62">
        <f t="shared" si="95"/>
        <v>4750</v>
      </c>
      <c r="N81" s="62">
        <f>5000*0.05</f>
        <v>250</v>
      </c>
      <c r="O81" s="62">
        <v>0</v>
      </c>
      <c r="P81" s="62">
        <f t="shared" si="96"/>
        <v>250</v>
      </c>
      <c r="Q81" s="62"/>
      <c r="R81" s="62"/>
      <c r="S81" s="62">
        <f t="shared" si="97"/>
        <v>0</v>
      </c>
      <c r="T81" s="62">
        <f t="shared" si="109"/>
        <v>0</v>
      </c>
      <c r="U81" s="62">
        <v>0</v>
      </c>
      <c r="V81" s="62">
        <f t="shared" si="98"/>
        <v>0</v>
      </c>
      <c r="W81" s="62">
        <f>0</f>
        <v>0</v>
      </c>
      <c r="X81" s="62">
        <v>0</v>
      </c>
      <c r="Y81" s="62">
        <f t="shared" si="99"/>
        <v>0</v>
      </c>
      <c r="Z81" s="62">
        <f t="shared" si="100"/>
        <v>0</v>
      </c>
      <c r="AA81" s="62"/>
      <c r="AB81" s="62"/>
      <c r="AC81" s="62">
        <f t="shared" si="101"/>
        <v>0</v>
      </c>
      <c r="AD81" s="62"/>
      <c r="AE81" s="62"/>
      <c r="AF81" s="62">
        <f t="shared" si="102"/>
        <v>0</v>
      </c>
      <c r="AG81" s="62"/>
      <c r="AH81" s="62"/>
      <c r="AI81" s="86" t="e">
        <f>(Z81+AF81)/(95/100*#REF!)</f>
        <v>#REF!</v>
      </c>
      <c r="AJ81" s="62">
        <f t="shared" si="103"/>
        <v>0</v>
      </c>
      <c r="AK81" s="62"/>
      <c r="AL81" s="62"/>
      <c r="AM81" s="62">
        <f t="shared" si="104"/>
        <v>4750</v>
      </c>
      <c r="AN81" s="62">
        <f t="shared" si="110"/>
        <v>4750</v>
      </c>
      <c r="AO81" s="62">
        <f t="shared" si="110"/>
        <v>0</v>
      </c>
      <c r="AP81" s="62">
        <f t="shared" si="105"/>
        <v>250</v>
      </c>
      <c r="AQ81" s="62">
        <f t="shared" si="106"/>
        <v>250</v>
      </c>
      <c r="AR81" s="62">
        <f t="shared" si="106"/>
        <v>0</v>
      </c>
      <c r="AS81" s="62">
        <f t="shared" si="107"/>
        <v>5000</v>
      </c>
      <c r="AT81" s="62">
        <f t="shared" si="108"/>
        <v>102628.31999999999</v>
      </c>
    </row>
    <row r="82" spans="1:46" ht="27" customHeight="1">
      <c r="A82" s="82">
        <v>5.3</v>
      </c>
      <c r="B82" s="41" t="s">
        <v>98</v>
      </c>
      <c r="C82" s="24">
        <f t="shared" si="91"/>
        <v>37732596.36000001</v>
      </c>
      <c r="D82" s="24">
        <f>31708064.17*0.95</f>
        <v>30122660.9615</v>
      </c>
      <c r="E82" s="24">
        <f>6024532.19*0.95</f>
        <v>5723305.5805</v>
      </c>
      <c r="F82" s="24">
        <f t="shared" si="92"/>
        <v>35845966.542</v>
      </c>
      <c r="G82" s="24">
        <f>31708064.17*0.05</f>
        <v>1585403.2085000002</v>
      </c>
      <c r="H82" s="24">
        <f>6024532.19*0.05</f>
        <v>301226.6095</v>
      </c>
      <c r="I82" s="24">
        <f t="shared" si="93"/>
        <v>1886629.8180000002</v>
      </c>
      <c r="J82" s="24">
        <f t="shared" si="94"/>
        <v>25162825.842000004</v>
      </c>
      <c r="K82" s="24">
        <f>21145231.8*0.95</f>
        <v>20087970.21</v>
      </c>
      <c r="L82" s="24">
        <f>0.19*K82</f>
        <v>3816714.3399</v>
      </c>
      <c r="M82" s="24">
        <f t="shared" si="95"/>
        <v>23904684.549900003</v>
      </c>
      <c r="N82" s="24">
        <f>21145231.8*0.05</f>
        <v>1057261.59</v>
      </c>
      <c r="O82" s="24">
        <f>0.19*N82</f>
        <v>200879.70210000002</v>
      </c>
      <c r="P82" s="24">
        <f t="shared" si="96"/>
        <v>1258141.2921000002</v>
      </c>
      <c r="Q82" s="24"/>
      <c r="R82" s="24"/>
      <c r="S82" s="24">
        <f t="shared" si="97"/>
        <v>0</v>
      </c>
      <c r="T82" s="24">
        <f t="shared" si="109"/>
        <v>0</v>
      </c>
      <c r="U82" s="24">
        <f>0.19*T82</f>
        <v>0</v>
      </c>
      <c r="V82" s="24">
        <f t="shared" si="98"/>
        <v>0</v>
      </c>
      <c r="W82" s="24">
        <f>0*0.05</f>
        <v>0</v>
      </c>
      <c r="X82" s="24">
        <f>0.19*W82</f>
        <v>0</v>
      </c>
      <c r="Y82" s="24">
        <f t="shared" si="99"/>
        <v>0</v>
      </c>
      <c r="Z82" s="24">
        <f t="shared" si="100"/>
        <v>0</v>
      </c>
      <c r="AA82" s="24"/>
      <c r="AB82" s="24"/>
      <c r="AC82" s="24">
        <f t="shared" si="101"/>
        <v>0</v>
      </c>
      <c r="AD82" s="24"/>
      <c r="AE82" s="24"/>
      <c r="AF82" s="24">
        <f t="shared" si="102"/>
        <v>0</v>
      </c>
      <c r="AG82" s="24"/>
      <c r="AH82" s="24"/>
      <c r="AI82" s="86" t="e">
        <f>(Z82+AF82)/(95/100*#REF!)</f>
        <v>#REF!</v>
      </c>
      <c r="AJ82" s="24">
        <f t="shared" si="103"/>
        <v>0</v>
      </c>
      <c r="AK82" s="24"/>
      <c r="AL82" s="24"/>
      <c r="AM82" s="24">
        <f t="shared" si="104"/>
        <v>23904684.549900003</v>
      </c>
      <c r="AN82" s="24">
        <f t="shared" si="110"/>
        <v>20087970.21</v>
      </c>
      <c r="AO82" s="24">
        <f t="shared" si="110"/>
        <v>3816714.3399</v>
      </c>
      <c r="AP82" s="24">
        <f t="shared" si="105"/>
        <v>1258141.2921000002</v>
      </c>
      <c r="AQ82" s="24">
        <f t="shared" si="106"/>
        <v>1057261.59</v>
      </c>
      <c r="AR82" s="24">
        <f t="shared" si="106"/>
        <v>200879.70210000002</v>
      </c>
      <c r="AS82" s="24">
        <f t="shared" si="107"/>
        <v>25162825.842000004</v>
      </c>
      <c r="AT82" s="24">
        <f t="shared" si="108"/>
        <v>12569770.518000003</v>
      </c>
    </row>
    <row r="83" spans="1:46" ht="22.5">
      <c r="A83" s="82" t="s">
        <v>33</v>
      </c>
      <c r="B83" s="41" t="s">
        <v>34</v>
      </c>
      <c r="C83" s="24">
        <f>F83+I83</f>
        <v>14280</v>
      </c>
      <c r="D83" s="24">
        <f>12000*0.95</f>
        <v>11400</v>
      </c>
      <c r="E83" s="24">
        <f>2280*0.95</f>
        <v>2166</v>
      </c>
      <c r="F83" s="24">
        <f t="shared" si="92"/>
        <v>13566</v>
      </c>
      <c r="G83" s="24">
        <f>12000*0.05</f>
        <v>600</v>
      </c>
      <c r="H83" s="24">
        <f>2280*0.05</f>
        <v>114</v>
      </c>
      <c r="I83" s="24">
        <f t="shared" si="93"/>
        <v>714</v>
      </c>
      <c r="J83" s="24">
        <f t="shared" si="94"/>
        <v>14280</v>
      </c>
      <c r="K83" s="24">
        <f>12000*0.95</f>
        <v>11400</v>
      </c>
      <c r="L83" s="24">
        <f>0.19*K83</f>
        <v>2166</v>
      </c>
      <c r="M83" s="24">
        <f t="shared" si="95"/>
        <v>13566</v>
      </c>
      <c r="N83" s="24">
        <f>12000*0.05</f>
        <v>600</v>
      </c>
      <c r="O83" s="24">
        <f>0.19*N83</f>
        <v>114</v>
      </c>
      <c r="P83" s="24">
        <f t="shared" si="96"/>
        <v>714</v>
      </c>
      <c r="Q83" s="24"/>
      <c r="R83" s="24"/>
      <c r="S83" s="24">
        <f t="shared" si="97"/>
        <v>0</v>
      </c>
      <c r="T83" s="24">
        <f t="shared" si="109"/>
        <v>0</v>
      </c>
      <c r="U83" s="24">
        <f>0.19*T83</f>
        <v>0</v>
      </c>
      <c r="V83" s="24">
        <f t="shared" si="98"/>
        <v>0</v>
      </c>
      <c r="W83" s="24">
        <f>0*0.05</f>
        <v>0</v>
      </c>
      <c r="X83" s="24">
        <f>0.19*W83</f>
        <v>0</v>
      </c>
      <c r="Y83" s="24">
        <f t="shared" si="99"/>
        <v>0</v>
      </c>
      <c r="Z83" s="24">
        <f t="shared" si="100"/>
        <v>0</v>
      </c>
      <c r="AA83" s="24"/>
      <c r="AB83" s="24"/>
      <c r="AC83" s="24">
        <f t="shared" si="101"/>
        <v>0</v>
      </c>
      <c r="AD83" s="24"/>
      <c r="AE83" s="24"/>
      <c r="AF83" s="24">
        <f t="shared" si="102"/>
        <v>0</v>
      </c>
      <c r="AG83" s="24"/>
      <c r="AH83" s="24"/>
      <c r="AI83" s="86" t="e">
        <f>(Z83+AF83)/(95/100*#REF!)</f>
        <v>#REF!</v>
      </c>
      <c r="AJ83" s="24">
        <f t="shared" si="103"/>
        <v>0</v>
      </c>
      <c r="AK83" s="24"/>
      <c r="AL83" s="24"/>
      <c r="AM83" s="24">
        <f t="shared" si="104"/>
        <v>13566</v>
      </c>
      <c r="AN83" s="24">
        <f t="shared" si="110"/>
        <v>11400</v>
      </c>
      <c r="AO83" s="24">
        <f t="shared" si="110"/>
        <v>2166</v>
      </c>
      <c r="AP83" s="24">
        <f t="shared" si="105"/>
        <v>714</v>
      </c>
      <c r="AQ83" s="24">
        <f t="shared" si="106"/>
        <v>600</v>
      </c>
      <c r="AR83" s="24">
        <f t="shared" si="106"/>
        <v>114</v>
      </c>
      <c r="AS83" s="24">
        <f t="shared" si="107"/>
        <v>14280</v>
      </c>
      <c r="AT83" s="24">
        <f t="shared" si="108"/>
        <v>0</v>
      </c>
    </row>
    <row r="84" spans="1:46" ht="15">
      <c r="A84" s="127" t="s">
        <v>35</v>
      </c>
      <c r="B84" s="127"/>
      <c r="C84" s="19">
        <f>C73+C76+C82+C83</f>
        <v>43669537.580000006</v>
      </c>
      <c r="D84" s="19">
        <f aca="true" t="shared" si="111" ref="D84:AT84">D73+D76+D82+D83</f>
        <v>35208276.6575</v>
      </c>
      <c r="E84" s="19">
        <f t="shared" si="111"/>
        <v>6277784.043500001</v>
      </c>
      <c r="F84" s="19">
        <f t="shared" si="111"/>
        <v>41486060.701000005</v>
      </c>
      <c r="G84" s="19">
        <f t="shared" si="111"/>
        <v>1853067.1925000001</v>
      </c>
      <c r="H84" s="19">
        <f t="shared" si="111"/>
        <v>330409.6865</v>
      </c>
      <c r="I84" s="19">
        <f t="shared" si="111"/>
        <v>2183476.879</v>
      </c>
      <c r="J84" s="19">
        <f t="shared" si="111"/>
        <v>28134435.944900002</v>
      </c>
      <c r="K84" s="19">
        <f>K73+K76+K82+K83</f>
        <v>22728307.471</v>
      </c>
      <c r="L84" s="19">
        <f>L73+L76+L82+L83</f>
        <v>3999406.676655</v>
      </c>
      <c r="M84" s="19">
        <f t="shared" si="111"/>
        <v>26727714.147655003</v>
      </c>
      <c r="N84" s="19">
        <f>N73+N76+N82+N83</f>
        <v>1196226.709</v>
      </c>
      <c r="O84" s="19">
        <f>O73+O76+O82+O83</f>
        <v>210495.08824500002</v>
      </c>
      <c r="P84" s="19">
        <f t="shared" si="111"/>
        <v>1406721.7972450003</v>
      </c>
      <c r="Q84" s="19"/>
      <c r="R84" s="19"/>
      <c r="S84" s="19">
        <f aca="true" t="shared" si="112" ref="S84:Y84">S73+S76+S82+S83</f>
        <v>0</v>
      </c>
      <c r="T84" s="19">
        <f t="shared" si="112"/>
        <v>0</v>
      </c>
      <c r="U84" s="19">
        <f t="shared" si="112"/>
        <v>0</v>
      </c>
      <c r="V84" s="19">
        <f t="shared" si="112"/>
        <v>0</v>
      </c>
      <c r="W84" s="19">
        <f t="shared" si="112"/>
        <v>0</v>
      </c>
      <c r="X84" s="19">
        <f t="shared" si="112"/>
        <v>0</v>
      </c>
      <c r="Y84" s="19">
        <f t="shared" si="112"/>
        <v>0</v>
      </c>
      <c r="Z84" s="19">
        <f t="shared" si="111"/>
        <v>415802.061</v>
      </c>
      <c r="AA84" s="19"/>
      <c r="AB84" s="19"/>
      <c r="AC84" s="19">
        <f t="shared" si="111"/>
        <v>21884.319000000003</v>
      </c>
      <c r="AD84" s="19"/>
      <c r="AE84" s="19"/>
      <c r="AF84" s="19">
        <f t="shared" si="111"/>
        <v>0</v>
      </c>
      <c r="AG84" s="19">
        <f t="shared" si="111"/>
        <v>0</v>
      </c>
      <c r="AH84" s="19">
        <f t="shared" si="111"/>
        <v>0</v>
      </c>
      <c r="AI84" s="90" t="e">
        <f>(Z84+AF84)/(95/100*#REF!)</f>
        <v>#REF!</v>
      </c>
      <c r="AJ84" s="19">
        <f t="shared" si="111"/>
        <v>0</v>
      </c>
      <c r="AK84" s="19">
        <f t="shared" si="111"/>
        <v>0</v>
      </c>
      <c r="AL84" s="19">
        <f t="shared" si="111"/>
        <v>0</v>
      </c>
      <c r="AM84" s="19">
        <f t="shared" si="111"/>
        <v>26311912.086655002</v>
      </c>
      <c r="AN84" s="19">
        <f t="shared" si="110"/>
        <v>22728307.471</v>
      </c>
      <c r="AO84" s="19">
        <f t="shared" si="110"/>
        <v>3999406.676655</v>
      </c>
      <c r="AP84" s="19">
        <f t="shared" si="111"/>
        <v>1384837.4782450001</v>
      </c>
      <c r="AQ84" s="19">
        <f t="shared" si="111"/>
        <v>1174342.3900000001</v>
      </c>
      <c r="AR84" s="19">
        <f t="shared" si="111"/>
        <v>210495.08824500002</v>
      </c>
      <c r="AS84" s="19">
        <f t="shared" si="111"/>
        <v>27696749.564900003</v>
      </c>
      <c r="AT84" s="19">
        <f t="shared" si="111"/>
        <v>15535101.635100003</v>
      </c>
    </row>
    <row r="85" spans="1:46" ht="15">
      <c r="A85" s="163"/>
      <c r="B85" s="163"/>
      <c r="C85" s="40"/>
      <c r="D85" s="31"/>
      <c r="E85" s="31"/>
      <c r="F85" s="32"/>
      <c r="G85" s="31"/>
      <c r="H85" s="31"/>
      <c r="I85" s="32"/>
      <c r="J85" s="32"/>
      <c r="K85" s="31"/>
      <c r="L85" s="31"/>
      <c r="M85" s="31"/>
      <c r="N85" s="31"/>
      <c r="O85" s="31"/>
      <c r="P85" s="31"/>
      <c r="Q85" s="31"/>
      <c r="R85" s="31"/>
      <c r="S85" s="32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3"/>
      <c r="AG85" s="103"/>
      <c r="AH85" s="103"/>
      <c r="AI85" s="89"/>
      <c r="AJ85" s="103"/>
      <c r="AK85" s="103"/>
      <c r="AL85" s="103"/>
      <c r="AM85" s="103"/>
      <c r="AN85" s="103"/>
      <c r="AO85" s="103"/>
      <c r="AP85" s="103"/>
      <c r="AQ85" s="103"/>
      <c r="AR85" s="103"/>
      <c r="AS85" s="104"/>
      <c r="AT85" s="105"/>
    </row>
    <row r="86" spans="1:46" ht="52.5" customHeight="1">
      <c r="A86" s="127" t="s">
        <v>99</v>
      </c>
      <c r="B86" s="127"/>
      <c r="C86" s="19"/>
      <c r="D86" s="20"/>
      <c r="E86" s="20"/>
      <c r="F86" s="21"/>
      <c r="G86" s="20"/>
      <c r="H86" s="20"/>
      <c r="I86" s="21"/>
      <c r="J86" s="21"/>
      <c r="K86" s="20"/>
      <c r="L86" s="20"/>
      <c r="M86" s="20"/>
      <c r="N86" s="20"/>
      <c r="O86" s="20"/>
      <c r="P86" s="20"/>
      <c r="Q86" s="20"/>
      <c r="R86" s="20"/>
      <c r="S86" s="21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2"/>
      <c r="AG86" s="98"/>
      <c r="AH86" s="98"/>
      <c r="AI86" s="88"/>
      <c r="AJ86" s="98"/>
      <c r="AK86" s="98"/>
      <c r="AL86" s="98"/>
      <c r="AM86" s="98"/>
      <c r="AN86" s="98"/>
      <c r="AO86" s="98"/>
      <c r="AP86" s="98"/>
      <c r="AQ86" s="98"/>
      <c r="AR86" s="98"/>
      <c r="AS86" s="99"/>
      <c r="AT86" s="100"/>
    </row>
    <row r="87" spans="1:46" ht="15">
      <c r="A87" s="84">
        <v>6.1</v>
      </c>
      <c r="B87" s="23" t="s">
        <v>36</v>
      </c>
      <c r="C87" s="24">
        <f>F87+I87</f>
        <v>408464.42</v>
      </c>
      <c r="D87" s="24">
        <f>343247.41*0.95</f>
        <v>326085.03949999996</v>
      </c>
      <c r="E87" s="24">
        <f>65217.01*0.95</f>
        <v>61956.1595</v>
      </c>
      <c r="F87" s="24">
        <f>D87+E87</f>
        <v>388041.19899999996</v>
      </c>
      <c r="G87" s="24">
        <f>343247.41*0.05</f>
        <v>17162.3705</v>
      </c>
      <c r="H87" s="24">
        <f>65217.01*0.05</f>
        <v>3260.8505000000005</v>
      </c>
      <c r="I87" s="24">
        <f>G87+H87</f>
        <v>20423.221</v>
      </c>
      <c r="J87" s="24">
        <f>M87+P87</f>
        <v>0</v>
      </c>
      <c r="K87" s="24">
        <v>0</v>
      </c>
      <c r="L87" s="24">
        <f>0.19*K87</f>
        <v>0</v>
      </c>
      <c r="M87" s="24">
        <f>K87+L87</f>
        <v>0</v>
      </c>
      <c r="N87" s="24">
        <v>0</v>
      </c>
      <c r="O87" s="24">
        <f>0.19*N87</f>
        <v>0</v>
      </c>
      <c r="P87" s="24">
        <f>N87+O87</f>
        <v>0</v>
      </c>
      <c r="Q87" s="24"/>
      <c r="R87" s="24"/>
      <c r="S87" s="24">
        <f>V87+Y87</f>
        <v>0</v>
      </c>
      <c r="T87" s="24">
        <v>0</v>
      </c>
      <c r="U87" s="24">
        <f>0.19*T87</f>
        <v>0</v>
      </c>
      <c r="V87" s="24">
        <f>T87+U87</f>
        <v>0</v>
      </c>
      <c r="W87" s="24">
        <v>0</v>
      </c>
      <c r="X87" s="24">
        <f>0.19*W87</f>
        <v>0</v>
      </c>
      <c r="Y87" s="24">
        <f>W87+X87</f>
        <v>0</v>
      </c>
      <c r="Z87" s="24">
        <f>AA87+AB87</f>
        <v>0</v>
      </c>
      <c r="AA87" s="24"/>
      <c r="AB87" s="24"/>
      <c r="AC87" s="24">
        <f>AD87+AE87</f>
        <v>0</v>
      </c>
      <c r="AD87" s="24"/>
      <c r="AE87" s="24"/>
      <c r="AF87" s="24">
        <f>AG87+AH87</f>
        <v>0</v>
      </c>
      <c r="AG87" s="24"/>
      <c r="AH87" s="24"/>
      <c r="AI87" s="86" t="e">
        <f>(Z87+AF87)/(95/100*#REF!)</f>
        <v>#REF!</v>
      </c>
      <c r="AJ87" s="24">
        <f>AK87+AL87</f>
        <v>0</v>
      </c>
      <c r="AK87" s="24"/>
      <c r="AL87" s="24"/>
      <c r="AM87" s="24">
        <f>AN87+AO87</f>
        <v>0</v>
      </c>
      <c r="AN87" s="24">
        <f aca="true" t="shared" si="113" ref="AN87:AO89">K87-AA87-AG87</f>
        <v>0</v>
      </c>
      <c r="AO87" s="24">
        <f t="shared" si="113"/>
        <v>0</v>
      </c>
      <c r="AP87" s="24">
        <f>AQ87+AR87</f>
        <v>0</v>
      </c>
      <c r="AQ87" s="24">
        <f>N87-AD87-AK87</f>
        <v>0</v>
      </c>
      <c r="AR87" s="24">
        <f>O87-AE87-AL87</f>
        <v>0</v>
      </c>
      <c r="AS87" s="24">
        <f>AM87+AP87</f>
        <v>0</v>
      </c>
      <c r="AT87" s="24">
        <f>C87-J87</f>
        <v>408464.42</v>
      </c>
    </row>
    <row r="88" spans="1:46" ht="15">
      <c r="A88" s="84">
        <v>6.2</v>
      </c>
      <c r="B88" s="23" t="s">
        <v>37</v>
      </c>
      <c r="C88" s="24">
        <f>F88+I88</f>
        <v>408464.42</v>
      </c>
      <c r="D88" s="24">
        <f>343247.41*0.95</f>
        <v>326085.03949999996</v>
      </c>
      <c r="E88" s="24">
        <f>65217.01*0.95</f>
        <v>61956.1595</v>
      </c>
      <c r="F88" s="24">
        <f>D88+E88</f>
        <v>388041.19899999996</v>
      </c>
      <c r="G88" s="24">
        <f>343247.41*0.05</f>
        <v>17162.3705</v>
      </c>
      <c r="H88" s="24">
        <f>65217.01*0.05</f>
        <v>3260.8505000000005</v>
      </c>
      <c r="I88" s="24">
        <f>G88+H88</f>
        <v>20423.221</v>
      </c>
      <c r="J88" s="24">
        <f>M88+P88</f>
        <v>3056.4078999999997</v>
      </c>
      <c r="K88" s="24">
        <f>2568.41*0.95</f>
        <v>2439.9894999999997</v>
      </c>
      <c r="L88" s="24">
        <f>0.19*K88</f>
        <v>463.59800499999994</v>
      </c>
      <c r="M88" s="24">
        <f>K88+L88</f>
        <v>2903.5875049999995</v>
      </c>
      <c r="N88" s="24">
        <f>2568.41*0.05</f>
        <v>128.4205</v>
      </c>
      <c r="O88" s="24">
        <f>0.19*N88</f>
        <v>24.399895</v>
      </c>
      <c r="P88" s="24">
        <f>N88+O88</f>
        <v>152.82039500000002</v>
      </c>
      <c r="Q88" s="24"/>
      <c r="R88" s="24"/>
      <c r="S88" s="24">
        <f>V88+Y88</f>
        <v>0</v>
      </c>
      <c r="T88" s="24">
        <f>0*0.95</f>
        <v>0</v>
      </c>
      <c r="U88" s="24">
        <f>0.19*T88</f>
        <v>0</v>
      </c>
      <c r="V88" s="24">
        <f>T88+U88</f>
        <v>0</v>
      </c>
      <c r="W88" s="24">
        <f>0*0.05</f>
        <v>0</v>
      </c>
      <c r="X88" s="24">
        <f>0.19*W88</f>
        <v>0</v>
      </c>
      <c r="Y88" s="24">
        <f>W88+X88</f>
        <v>0</v>
      </c>
      <c r="Z88" s="24">
        <f>AA88+AB88</f>
        <v>0</v>
      </c>
      <c r="AA88" s="24"/>
      <c r="AB88" s="24"/>
      <c r="AC88" s="24">
        <f>AD88+AE88</f>
        <v>0</v>
      </c>
      <c r="AD88" s="24"/>
      <c r="AE88" s="24"/>
      <c r="AF88" s="24">
        <f>AG88+AH88</f>
        <v>0</v>
      </c>
      <c r="AG88" s="24"/>
      <c r="AH88" s="24"/>
      <c r="AI88" s="86" t="e">
        <f>(Z88+AF88)/(95/100*#REF!)</f>
        <v>#REF!</v>
      </c>
      <c r="AJ88" s="24">
        <f>AK88+AL88</f>
        <v>0</v>
      </c>
      <c r="AK88" s="24"/>
      <c r="AL88" s="24"/>
      <c r="AM88" s="24">
        <f>AN88+AO88</f>
        <v>2903.5875049999995</v>
      </c>
      <c r="AN88" s="24">
        <f t="shared" si="113"/>
        <v>2439.9894999999997</v>
      </c>
      <c r="AO88" s="24">
        <f t="shared" si="113"/>
        <v>463.59800499999994</v>
      </c>
      <c r="AP88" s="24">
        <f>AQ88+AR88</f>
        <v>152.82039500000002</v>
      </c>
      <c r="AQ88" s="24">
        <f>N88-AD88-AK88</f>
        <v>128.4205</v>
      </c>
      <c r="AR88" s="24">
        <f>O88-AE88-AL88</f>
        <v>24.399895</v>
      </c>
      <c r="AS88" s="24">
        <f>AM88+AP88</f>
        <v>3056.4078999999997</v>
      </c>
      <c r="AT88" s="24">
        <f>C88-J88</f>
        <v>405408.0121</v>
      </c>
    </row>
    <row r="89" spans="1:46" ht="15">
      <c r="A89" s="127" t="s">
        <v>38</v>
      </c>
      <c r="B89" s="127"/>
      <c r="C89" s="19">
        <f>SUM(C87:C88)</f>
        <v>816928.84</v>
      </c>
      <c r="D89" s="19">
        <f>SUM(D87:D88)</f>
        <v>652170.0789999999</v>
      </c>
      <c r="E89" s="19">
        <f>SUM(E87:E88)</f>
        <v>123912.319</v>
      </c>
      <c r="F89" s="19">
        <f>SUM(F87:F88)</f>
        <v>776082.3979999999</v>
      </c>
      <c r="G89" s="19">
        <f>SUM(G87:G88)</f>
        <v>34324.741</v>
      </c>
      <c r="H89" s="19">
        <f>SUM(H87:H88)</f>
        <v>6521.701000000001</v>
      </c>
      <c r="I89" s="19">
        <f>SUM(I87:I88)</f>
        <v>40846.442</v>
      </c>
      <c r="J89" s="19">
        <f>SUM(J87:J88)</f>
        <v>3056.4078999999997</v>
      </c>
      <c r="K89" s="19">
        <f>SUM(K87:K88)</f>
        <v>2439.9894999999997</v>
      </c>
      <c r="L89" s="19">
        <f>SUM(L87:L88)</f>
        <v>463.59800499999994</v>
      </c>
      <c r="M89" s="19">
        <f>SUM(M87:M88)</f>
        <v>2903.5875049999995</v>
      </c>
      <c r="N89" s="19">
        <f>SUM(N87:N88)</f>
        <v>128.4205</v>
      </c>
      <c r="O89" s="19">
        <f>SUM(O87:O88)</f>
        <v>24.399895</v>
      </c>
      <c r="P89" s="19">
        <f>SUM(P87:P88)</f>
        <v>152.82039500000002</v>
      </c>
      <c r="Q89" s="19"/>
      <c r="R89" s="19"/>
      <c r="S89" s="19">
        <f aca="true" t="shared" si="114" ref="S89:Y89">SUM(S87:S88)</f>
        <v>0</v>
      </c>
      <c r="T89" s="19">
        <f t="shared" si="114"/>
        <v>0</v>
      </c>
      <c r="U89" s="19">
        <f t="shared" si="114"/>
        <v>0</v>
      </c>
      <c r="V89" s="19">
        <f t="shared" si="114"/>
        <v>0</v>
      </c>
      <c r="W89" s="19">
        <f t="shared" si="114"/>
        <v>0</v>
      </c>
      <c r="X89" s="19">
        <f t="shared" si="114"/>
        <v>0</v>
      </c>
      <c r="Y89" s="19">
        <f t="shared" si="114"/>
        <v>0</v>
      </c>
      <c r="Z89" s="19">
        <f>SUM(Z87:Z88)</f>
        <v>0</v>
      </c>
      <c r="AA89" s="19"/>
      <c r="AB89" s="19"/>
      <c r="AC89" s="19">
        <f>SUM(AC87:AC88)</f>
        <v>0</v>
      </c>
      <c r="AD89" s="19"/>
      <c r="AE89" s="19"/>
      <c r="AF89" s="19">
        <f>SUM(AF87:AF88)</f>
        <v>0</v>
      </c>
      <c r="AG89" s="19"/>
      <c r="AH89" s="19"/>
      <c r="AI89" s="90" t="e">
        <f>(Z89+AF89)/(95/100*#REF!)</f>
        <v>#REF!</v>
      </c>
      <c r="AJ89" s="19">
        <f>SUM(AJ87:AJ88)</f>
        <v>0</v>
      </c>
      <c r="AK89" s="19"/>
      <c r="AL89" s="19"/>
      <c r="AM89" s="19">
        <f>SUM(AM87:AM88)</f>
        <v>2903.5875049999995</v>
      </c>
      <c r="AN89" s="19">
        <f t="shared" si="113"/>
        <v>2439.9894999999997</v>
      </c>
      <c r="AO89" s="19">
        <f t="shared" si="113"/>
        <v>463.59800499999994</v>
      </c>
      <c r="AP89" s="19">
        <f>SUM(AP87:AP88)</f>
        <v>152.82039500000002</v>
      </c>
      <c r="AQ89" s="19">
        <f>SUM(AQ87:AQ88)</f>
        <v>128.4205</v>
      </c>
      <c r="AR89" s="19">
        <f>SUM(AR87:AR88)</f>
        <v>24.399895</v>
      </c>
      <c r="AS89" s="19">
        <f>SUM(AS87:AS88)</f>
        <v>3056.4078999999997</v>
      </c>
      <c r="AT89" s="19">
        <f>SUM(AT87:AT88)</f>
        <v>813872.4321</v>
      </c>
    </row>
    <row r="90" spans="1:46" ht="15">
      <c r="A90" s="163"/>
      <c r="B90" s="163"/>
      <c r="C90" s="40"/>
      <c r="D90" s="31"/>
      <c r="E90" s="31"/>
      <c r="F90" s="32"/>
      <c r="G90" s="31"/>
      <c r="H90" s="31"/>
      <c r="I90" s="32"/>
      <c r="J90" s="32"/>
      <c r="K90" s="31"/>
      <c r="L90" s="31"/>
      <c r="M90" s="31"/>
      <c r="N90" s="31"/>
      <c r="O90" s="31"/>
      <c r="P90" s="31"/>
      <c r="Q90" s="31"/>
      <c r="R90" s="31"/>
      <c r="S90" s="32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3"/>
      <c r="AG90" s="103"/>
      <c r="AH90" s="103"/>
      <c r="AI90" s="89"/>
      <c r="AJ90" s="103"/>
      <c r="AK90" s="103"/>
      <c r="AL90" s="103"/>
      <c r="AM90" s="103"/>
      <c r="AN90" s="103"/>
      <c r="AO90" s="103"/>
      <c r="AP90" s="103"/>
      <c r="AQ90" s="103"/>
      <c r="AR90" s="103"/>
      <c r="AS90" s="104"/>
      <c r="AT90" s="105"/>
    </row>
    <row r="91" spans="1:46" ht="15">
      <c r="A91" s="127" t="s">
        <v>39</v>
      </c>
      <c r="B91" s="127"/>
      <c r="C91" s="19">
        <f>C31+C35+C61+C70+C84+C89</f>
        <v>485108936.55999994</v>
      </c>
      <c r="D91" s="19">
        <f aca="true" t="shared" si="115" ref="D91:AS91">D31+D35+D61+D70+D84+D89</f>
        <v>387617880.89049995</v>
      </c>
      <c r="E91" s="19">
        <f t="shared" si="115"/>
        <v>73235608.84150001</v>
      </c>
      <c r="F91" s="19">
        <f t="shared" si="115"/>
        <v>460853489.732</v>
      </c>
      <c r="G91" s="19">
        <f t="shared" si="115"/>
        <v>20400941.0995</v>
      </c>
      <c r="H91" s="19">
        <f t="shared" si="115"/>
        <v>3854505.7285</v>
      </c>
      <c r="I91" s="19">
        <f t="shared" si="115"/>
        <v>24255446.828</v>
      </c>
      <c r="J91" s="19">
        <f aca="true" t="shared" si="116" ref="J91:O91">J31+J35+J61+J70+J84+J89</f>
        <v>485108936.5708999</v>
      </c>
      <c r="K91" s="19">
        <f t="shared" si="116"/>
        <v>387539883.6010001</v>
      </c>
      <c r="L91" s="19">
        <f t="shared" si="116"/>
        <v>73313606.141355</v>
      </c>
      <c r="M91" s="19">
        <f t="shared" si="116"/>
        <v>460853489.74235505</v>
      </c>
      <c r="N91" s="19">
        <f t="shared" si="116"/>
        <v>20396835.979000002</v>
      </c>
      <c r="O91" s="19">
        <f t="shared" si="116"/>
        <v>3858610.8495450006</v>
      </c>
      <c r="P91" s="19">
        <f t="shared" si="115"/>
        <v>24255446.828545004</v>
      </c>
      <c r="Q91" s="19"/>
      <c r="R91" s="19"/>
      <c r="S91" s="19" t="e">
        <f t="shared" si="115"/>
        <v>#REF!</v>
      </c>
      <c r="T91" s="19" t="e">
        <f t="shared" si="115"/>
        <v>#REF!</v>
      </c>
      <c r="U91" s="19" t="e">
        <f t="shared" si="115"/>
        <v>#REF!</v>
      </c>
      <c r="V91" s="19" t="e">
        <f t="shared" si="115"/>
        <v>#REF!</v>
      </c>
      <c r="W91" s="19" t="e">
        <f t="shared" si="115"/>
        <v>#REF!</v>
      </c>
      <c r="X91" s="19" t="e">
        <f t="shared" si="115"/>
        <v>#REF!</v>
      </c>
      <c r="Y91" s="19" t="e">
        <f>Y31+Y35+Y61+Y70+Y84+Y89</f>
        <v>#REF!</v>
      </c>
      <c r="Z91" s="19">
        <f t="shared" si="115"/>
        <v>814816.7955</v>
      </c>
      <c r="AA91" s="19">
        <f t="shared" si="115"/>
        <v>469822.12</v>
      </c>
      <c r="AB91" s="19">
        <f t="shared" si="115"/>
        <v>83454.09899999999</v>
      </c>
      <c r="AC91" s="19">
        <f t="shared" si="115"/>
        <v>42885.09450000001</v>
      </c>
      <c r="AD91" s="19">
        <f t="shared" si="115"/>
        <v>24727.479999999996</v>
      </c>
      <c r="AE91" s="19">
        <f t="shared" si="115"/>
        <v>4392.321</v>
      </c>
      <c r="AF91" s="19">
        <f t="shared" si="115"/>
        <v>7214319.35065097</v>
      </c>
      <c r="AG91" s="19">
        <f t="shared" si="115"/>
        <v>5956777.45035</v>
      </c>
      <c r="AH91" s="19">
        <f t="shared" si="115"/>
        <v>1257541.9003009694</v>
      </c>
      <c r="AI91" s="90" t="e">
        <f>(Z91+AF91)/(95/100*#REF!)</f>
        <v>#REF!</v>
      </c>
      <c r="AJ91" s="19">
        <f t="shared" si="115"/>
        <v>379701.018765</v>
      </c>
      <c r="AK91" s="19">
        <f t="shared" si="115"/>
        <v>313514.60265</v>
      </c>
      <c r="AL91" s="19">
        <f t="shared" si="115"/>
        <v>66186.416115</v>
      </c>
      <c r="AM91" s="19" t="e">
        <f t="shared" si="115"/>
        <v>#REF!</v>
      </c>
      <c r="AN91" s="19">
        <f>K91-AA91-AG91</f>
        <v>381113284.0306501</v>
      </c>
      <c r="AO91" s="19">
        <f>L91-AB91-AH91</f>
        <v>71972610.14205402</v>
      </c>
      <c r="AP91" s="19" t="e">
        <f t="shared" si="115"/>
        <v>#REF!</v>
      </c>
      <c r="AQ91" s="19" t="e">
        <f t="shared" si="115"/>
        <v>#REF!</v>
      </c>
      <c r="AR91" s="19" t="e">
        <f t="shared" si="115"/>
        <v>#REF!</v>
      </c>
      <c r="AS91" s="19" t="e">
        <f t="shared" si="115"/>
        <v>#REF!</v>
      </c>
      <c r="AT91" s="19">
        <f>C91-J91</f>
        <v>-0.010899960994720459</v>
      </c>
    </row>
    <row r="92" spans="1:46" ht="15">
      <c r="A92" s="163"/>
      <c r="B92" s="163"/>
      <c r="C92" s="40"/>
      <c r="D92" s="31"/>
      <c r="E92" s="31"/>
      <c r="F92" s="32"/>
      <c r="G92" s="31"/>
      <c r="H92" s="31"/>
      <c r="I92" s="32"/>
      <c r="J92" s="32"/>
      <c r="K92" s="31"/>
      <c r="L92" s="31"/>
      <c r="M92" s="31"/>
      <c r="N92" s="31"/>
      <c r="O92" s="31"/>
      <c r="P92" s="31"/>
      <c r="Q92" s="31"/>
      <c r="R92" s="31"/>
      <c r="S92" s="32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3"/>
      <c r="AG92" s="103"/>
      <c r="AH92" s="103"/>
      <c r="AI92" s="89"/>
      <c r="AJ92" s="103"/>
      <c r="AK92" s="103"/>
      <c r="AL92" s="103"/>
      <c r="AM92" s="103"/>
      <c r="AN92" s="103"/>
      <c r="AO92" s="103"/>
      <c r="AP92" s="103"/>
      <c r="AQ92" s="103"/>
      <c r="AR92" s="103"/>
      <c r="AS92" s="104"/>
      <c r="AT92" s="105"/>
    </row>
    <row r="93" spans="1:46" ht="21" customHeight="1">
      <c r="A93" s="127" t="s">
        <v>40</v>
      </c>
      <c r="B93" s="127"/>
      <c r="C93" s="19">
        <f>C28+C29+C30+C35+C64+C65+C74</f>
        <v>242763756.9</v>
      </c>
      <c r="D93" s="19">
        <f aca="true" t="shared" si="117" ref="D93:J93">D28+D29+D30+D35+D64+D65+D74</f>
        <v>193802999.207</v>
      </c>
      <c r="E93" s="19">
        <f t="shared" si="117"/>
        <v>36822569.848000005</v>
      </c>
      <c r="F93" s="19">
        <f t="shared" si="117"/>
        <v>230625569.055</v>
      </c>
      <c r="G93" s="19">
        <f t="shared" si="117"/>
        <v>10200157.853000002</v>
      </c>
      <c r="H93" s="19">
        <f t="shared" si="117"/>
        <v>1938029.9920000003</v>
      </c>
      <c r="I93" s="19">
        <f t="shared" si="117"/>
        <v>12138187.845000003</v>
      </c>
      <c r="J93" s="19">
        <f t="shared" si="117"/>
        <v>259576110.4237</v>
      </c>
      <c r="K93" s="19">
        <f>K28+K29+K30+K35+K64+K65+K74</f>
        <v>207224625.9685</v>
      </c>
      <c r="L93" s="19">
        <f>L28+L29+L30+L35+L64+L65+L74</f>
        <v>39372678.934015</v>
      </c>
      <c r="M93" s="19">
        <f>M28+M29+M30+M35+M64+M65+M74</f>
        <v>246597304.90251502</v>
      </c>
      <c r="N93" s="19">
        <f>N28+N29+N30+N35+N64+N65+N74</f>
        <v>10906559.261500003</v>
      </c>
      <c r="O93" s="19">
        <f>O28+O29+O30+O35+O64+O65+O74</f>
        <v>2072246.2596850004</v>
      </c>
      <c r="P93" s="19">
        <f aca="true" t="shared" si="118" ref="P93:AS93">P28+P29+P30+P35+P64+P65+P74</f>
        <v>12978805.521185003</v>
      </c>
      <c r="Q93" s="19"/>
      <c r="R93" s="19"/>
      <c r="S93" s="19">
        <f t="shared" si="118"/>
        <v>0</v>
      </c>
      <c r="T93" s="19">
        <f aca="true" t="shared" si="119" ref="T93:Y93">T28+T29+T30+T35+T64+T65+T74</f>
        <v>0</v>
      </c>
      <c r="U93" s="19">
        <f t="shared" si="119"/>
        <v>0</v>
      </c>
      <c r="V93" s="19">
        <f t="shared" si="119"/>
        <v>0</v>
      </c>
      <c r="W93" s="19">
        <f t="shared" si="119"/>
        <v>0</v>
      </c>
      <c r="X93" s="19">
        <f t="shared" si="119"/>
        <v>0</v>
      </c>
      <c r="Y93" s="19">
        <f t="shared" si="119"/>
        <v>0</v>
      </c>
      <c r="Z93" s="19">
        <f t="shared" si="118"/>
        <v>0</v>
      </c>
      <c r="AA93" s="19">
        <f t="shared" si="118"/>
        <v>0</v>
      </c>
      <c r="AB93" s="19">
        <f t="shared" si="118"/>
        <v>0</v>
      </c>
      <c r="AC93" s="19">
        <f t="shared" si="118"/>
        <v>0</v>
      </c>
      <c r="AD93" s="19">
        <f t="shared" si="118"/>
        <v>0</v>
      </c>
      <c r="AE93" s="19">
        <f t="shared" si="118"/>
        <v>0</v>
      </c>
      <c r="AF93" s="19">
        <f t="shared" si="118"/>
        <v>0</v>
      </c>
      <c r="AG93" s="19">
        <f t="shared" si="118"/>
        <v>0</v>
      </c>
      <c r="AH93" s="19">
        <f t="shared" si="118"/>
        <v>0</v>
      </c>
      <c r="AI93" s="90" t="e">
        <f>(Z93+AF93)/(95/100*#REF!)</f>
        <v>#REF!</v>
      </c>
      <c r="AJ93" s="19">
        <f t="shared" si="118"/>
        <v>0</v>
      </c>
      <c r="AK93" s="19">
        <f t="shared" si="118"/>
        <v>0</v>
      </c>
      <c r="AL93" s="19">
        <f t="shared" si="118"/>
        <v>0</v>
      </c>
      <c r="AM93" s="19">
        <f t="shared" si="118"/>
        <v>246597304.90251502</v>
      </c>
      <c r="AN93" s="19">
        <f>K93-AA93-AG93</f>
        <v>207224625.9685</v>
      </c>
      <c r="AO93" s="19">
        <f>L93-AB93-AH93</f>
        <v>39372678.934015</v>
      </c>
      <c r="AP93" s="19">
        <f t="shared" si="118"/>
        <v>12978805.521185003</v>
      </c>
      <c r="AQ93" s="19">
        <f t="shared" si="118"/>
        <v>10906559.261500003</v>
      </c>
      <c r="AR93" s="19">
        <f t="shared" si="118"/>
        <v>2072246.2596850004</v>
      </c>
      <c r="AS93" s="19">
        <f t="shared" si="118"/>
        <v>259576110.4237</v>
      </c>
      <c r="AT93" s="19">
        <f>C93-J93</f>
        <v>-16812353.5237</v>
      </c>
    </row>
    <row r="94" spans="1:46" s="106" customFormat="1" ht="21" customHeight="1">
      <c r="A94" s="43"/>
      <c r="B94" s="43"/>
      <c r="C94" s="43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5"/>
      <c r="AI94" s="94"/>
      <c r="AT94" s="112"/>
    </row>
    <row r="95" ht="15">
      <c r="A95" s="5" t="s">
        <v>109</v>
      </c>
    </row>
    <row r="96" spans="1:32" ht="15">
      <c r="A96" s="5" t="s">
        <v>145</v>
      </c>
      <c r="K96" s="59"/>
      <c r="T96" s="59"/>
      <c r="AF96" s="113"/>
    </row>
    <row r="100" spans="2:9" ht="18.75">
      <c r="B100" s="114" t="s">
        <v>146</v>
      </c>
      <c r="C100" s="115"/>
      <c r="D100" s="115"/>
      <c r="E100" s="115"/>
      <c r="F100" s="115"/>
      <c r="G100" s="115"/>
      <c r="H100" s="115"/>
      <c r="I100" s="115"/>
    </row>
    <row r="101" spans="2:9" ht="18.75">
      <c r="B101" s="115"/>
      <c r="C101" s="115"/>
      <c r="D101" s="115"/>
      <c r="E101" s="115"/>
      <c r="F101" s="115"/>
      <c r="G101" s="115"/>
      <c r="H101" s="115"/>
      <c r="I101" s="115"/>
    </row>
    <row r="102" spans="2:9" ht="18.75">
      <c r="B102" s="68" t="s">
        <v>114</v>
      </c>
      <c r="C102" s="115"/>
      <c r="D102" s="115"/>
      <c r="E102" s="115"/>
      <c r="F102" s="115"/>
      <c r="G102" s="115"/>
      <c r="H102" s="115"/>
      <c r="I102" s="115"/>
    </row>
    <row r="103" spans="2:23" ht="18.75">
      <c r="B103" s="69" t="s">
        <v>148</v>
      </c>
      <c r="C103" s="115"/>
      <c r="D103" s="115"/>
      <c r="E103" s="115"/>
      <c r="F103" s="69"/>
      <c r="G103" s="115"/>
      <c r="H103" s="115"/>
      <c r="I103" s="115"/>
      <c r="K103" s="69" t="s">
        <v>147</v>
      </c>
      <c r="L103" s="115"/>
      <c r="M103" s="115"/>
      <c r="N103" s="115"/>
      <c r="T103" s="69"/>
      <c r="U103" s="115"/>
      <c r="V103" s="115"/>
      <c r="W103" s="115"/>
    </row>
    <row r="104" spans="2:9" ht="18.75">
      <c r="B104" s="70"/>
      <c r="C104" s="115"/>
      <c r="D104" s="115"/>
      <c r="E104" s="115"/>
      <c r="F104" s="115"/>
      <c r="G104" s="115"/>
      <c r="H104" s="115"/>
      <c r="I104" s="115"/>
    </row>
    <row r="105" ht="15">
      <c r="B105" s="47"/>
    </row>
    <row r="106" ht="15.75">
      <c r="B106" s="46"/>
    </row>
    <row r="107" ht="15">
      <c r="B107" s="116" t="s">
        <v>47</v>
      </c>
    </row>
    <row r="111" ht="15.75">
      <c r="B111" s="46"/>
    </row>
  </sheetData>
  <sheetProtection selectLockedCells="1"/>
  <mergeCells count="47">
    <mergeCell ref="AM19:AO20"/>
    <mergeCell ref="AF21:AF23"/>
    <mergeCell ref="S19:Y20"/>
    <mergeCell ref="AS1:AT1"/>
    <mergeCell ref="C21:C23"/>
    <mergeCell ref="A16:AT16"/>
    <mergeCell ref="AS19:AS21"/>
    <mergeCell ref="AT19:AT21"/>
    <mergeCell ref="AI19:AI21"/>
    <mergeCell ref="AF19:AH20"/>
    <mergeCell ref="AJ19:AL20"/>
    <mergeCell ref="A89:B89"/>
    <mergeCell ref="A62:B62"/>
    <mergeCell ref="A63:B63"/>
    <mergeCell ref="A33:B33"/>
    <mergeCell ref="A26:B26"/>
    <mergeCell ref="A31:B31"/>
    <mergeCell ref="A32:B32"/>
    <mergeCell ref="A35:B35"/>
    <mergeCell ref="A90:B90"/>
    <mergeCell ref="A91:B91"/>
    <mergeCell ref="A92:B92"/>
    <mergeCell ref="A93:B93"/>
    <mergeCell ref="A70:B70"/>
    <mergeCell ref="A71:B71"/>
    <mergeCell ref="A72:B72"/>
    <mergeCell ref="A84:B84"/>
    <mergeCell ref="A85:B85"/>
    <mergeCell ref="A86:B86"/>
    <mergeCell ref="AC21:AC23"/>
    <mergeCell ref="Z19:AB20"/>
    <mergeCell ref="AC19:AE20"/>
    <mergeCell ref="Z21:Z23"/>
    <mergeCell ref="A25:AT25"/>
    <mergeCell ref="AM21:AM23"/>
    <mergeCell ref="AP19:AR20"/>
    <mergeCell ref="AJ21:AJ23"/>
    <mergeCell ref="S21:S23"/>
    <mergeCell ref="AP21:AP23"/>
    <mergeCell ref="A61:B61"/>
    <mergeCell ref="A17:B17"/>
    <mergeCell ref="A19:B23"/>
    <mergeCell ref="C19:I20"/>
    <mergeCell ref="J19:P20"/>
    <mergeCell ref="J21:J23"/>
    <mergeCell ref="A36:B36"/>
    <mergeCell ref="A37:B3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Rossi</dc:creator>
  <cp:keywords/>
  <dc:description/>
  <cp:lastModifiedBy>Roberta P</cp:lastModifiedBy>
  <cp:lastPrinted>2023-07-19T06:18:54Z</cp:lastPrinted>
  <dcterms:created xsi:type="dcterms:W3CDTF">2023-05-30T07:18:14Z</dcterms:created>
  <dcterms:modified xsi:type="dcterms:W3CDTF">2023-11-06T09:54:13Z</dcterms:modified>
  <cp:category/>
  <cp:version/>
  <cp:contentType/>
  <cp:contentStatus/>
</cp:coreProperties>
</file>